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995" windowHeight="7680"/>
  </bookViews>
  <sheets>
    <sheet name="Hoja1" sheetId="1" r:id="rId1"/>
    <sheet name="Hoja2" sheetId="2" r:id="rId2"/>
    <sheet name="Hoja3" sheetId="3" r:id="rId3"/>
  </sheets>
  <definedNames>
    <definedName name="_edn1" localSheetId="0">Hoja1!$A$84</definedName>
    <definedName name="_edn10" localSheetId="0">Hoja1!$A$93</definedName>
    <definedName name="_edn11" localSheetId="0">Hoja1!$A$94</definedName>
    <definedName name="_edn12" localSheetId="0">Hoja1!$A$95</definedName>
    <definedName name="_edn13" localSheetId="0">Hoja1!$A$96</definedName>
    <definedName name="_edn14" localSheetId="0">Hoja1!$A$97</definedName>
    <definedName name="_edn15" localSheetId="0">Hoja1!$A$98</definedName>
    <definedName name="_edn16" localSheetId="0">Hoja1!$A$99</definedName>
    <definedName name="_edn17" localSheetId="0">Hoja1!$A$100</definedName>
    <definedName name="_edn18" localSheetId="0">Hoja1!$A$101</definedName>
    <definedName name="_edn19" localSheetId="0">Hoja1!$A$102</definedName>
    <definedName name="_edn2" localSheetId="0">Hoja1!$A$85</definedName>
    <definedName name="_edn20" localSheetId="0">Hoja1!$A$103</definedName>
    <definedName name="_edn21" localSheetId="0">Hoja1!$A$104</definedName>
    <definedName name="_edn22" localSheetId="0">Hoja1!$A$105</definedName>
    <definedName name="_edn23" localSheetId="0">Hoja1!$A$106</definedName>
    <definedName name="_edn24" localSheetId="0">Hoja1!$A$107</definedName>
    <definedName name="_edn25" localSheetId="0">Hoja1!$A$108</definedName>
    <definedName name="_edn26" localSheetId="0">Hoja1!$A$109</definedName>
    <definedName name="_edn3" localSheetId="0">Hoja1!$A$86</definedName>
    <definedName name="_edn4" localSheetId="0">Hoja1!$A$87</definedName>
    <definedName name="_edn5" localSheetId="0">Hoja1!$A$88</definedName>
    <definedName name="_edn6" localSheetId="0">Hoja1!$A$89</definedName>
    <definedName name="_edn7" localSheetId="0">Hoja1!$A$90</definedName>
    <definedName name="_edn8" localSheetId="0">Hoja1!$A$91</definedName>
    <definedName name="_edn9" localSheetId="0">Hoja1!$A$92</definedName>
    <definedName name="_ednref1" localSheetId="0">Hoja1!$C$6</definedName>
    <definedName name="_ednref10" localSheetId="0">Hoja1!$F$38</definedName>
    <definedName name="_ednref11" localSheetId="0">Hoja1!$F$39</definedName>
    <definedName name="_ednref12" localSheetId="0">Hoja1!$F$40</definedName>
    <definedName name="_ednref13" localSheetId="0">Hoja1!$F$41</definedName>
    <definedName name="_ednref14" localSheetId="0">Hoja1!$F$42</definedName>
    <definedName name="_ednref15" localSheetId="0">Hoja1!$F$43</definedName>
    <definedName name="_ednref16" localSheetId="0">Hoja1!$F$49</definedName>
    <definedName name="_ednref17" localSheetId="0">Hoja1!$F$50</definedName>
    <definedName name="_ednref18" localSheetId="0">Hoja1!$F$54</definedName>
    <definedName name="_ednref19" localSheetId="0">Hoja1!$E$57</definedName>
    <definedName name="_ednref2" localSheetId="0">Hoja1!$E$15</definedName>
    <definedName name="_ednref20" localSheetId="0">Hoja1!$E$58</definedName>
    <definedName name="_ednref21" localSheetId="0">Hoja1!$F$61</definedName>
    <definedName name="_ednref22" localSheetId="0">Hoja1!$F$62</definedName>
    <definedName name="_ednref23" localSheetId="0">Hoja1!$F$63</definedName>
    <definedName name="_ednref24" localSheetId="0">Hoja1!$F$65</definedName>
    <definedName name="_ednref25" localSheetId="0">Hoja1!$F$66</definedName>
    <definedName name="_ednref26" localSheetId="0">Hoja1!$F$67</definedName>
    <definedName name="_ednref3" localSheetId="0">Hoja1!$B$17</definedName>
    <definedName name="_ednref4" localSheetId="0">Hoja1!$F$22</definedName>
    <definedName name="_ednref5" localSheetId="0">Hoja1!$F$24</definedName>
    <definedName name="_ednref6" localSheetId="0">Hoja1!$F$26</definedName>
    <definedName name="_ednref7" localSheetId="0">Hoja1!$F$27</definedName>
    <definedName name="_ednref8" localSheetId="0">Hoja1!$E$31</definedName>
    <definedName name="_ednref9" localSheetId="0">Hoja1!$F$37</definedName>
    <definedName name="_xlnm._FilterDatabase" localSheetId="0">Hoja1!$A$1:$W$81</definedName>
  </definedNames>
  <calcPr calcId="125725"/>
</workbook>
</file>

<file path=xl/calcChain.xml><?xml version="1.0" encoding="utf-8"?>
<calcChain xmlns="http://schemas.openxmlformats.org/spreadsheetml/2006/main">
  <c r="S66" i="1"/>
  <c r="S63"/>
  <c r="S62"/>
  <c r="S61"/>
  <c r="S58"/>
  <c r="S57"/>
  <c r="S54"/>
  <c r="S37"/>
  <c r="S17"/>
  <c r="S15"/>
  <c r="S6"/>
  <c r="Q79"/>
  <c r="S79" s="1"/>
  <c r="H48"/>
  <c r="H22"/>
  <c r="H7"/>
  <c r="H69"/>
  <c r="H39"/>
  <c r="H38"/>
  <c r="H29"/>
  <c r="H12"/>
  <c r="H6"/>
  <c r="H24" l="1"/>
  <c r="P2"/>
  <c r="Q37" s="1"/>
  <c r="F3" i="2"/>
  <c r="F4"/>
  <c r="F5"/>
  <c r="F6"/>
  <c r="F7"/>
  <c r="F2"/>
  <c r="E7"/>
  <c r="D7"/>
  <c r="E6"/>
  <c r="D6"/>
  <c r="E5"/>
  <c r="D5"/>
  <c r="E4"/>
  <c r="D4"/>
  <c r="E3"/>
  <c r="D3"/>
  <c r="E2"/>
  <c r="D2"/>
  <c r="B13"/>
  <c r="B9"/>
  <c r="C6"/>
  <c r="C5"/>
  <c r="C4"/>
  <c r="C3"/>
  <c r="C7"/>
  <c r="C2"/>
  <c r="Q78" i="1" l="1"/>
  <c r="Q49"/>
  <c r="S49" s="1"/>
  <c r="Q48"/>
  <c r="S48" s="1"/>
  <c r="Q63"/>
  <c r="Q27"/>
  <c r="S27" s="1"/>
  <c r="Q69"/>
  <c r="S69" s="1"/>
  <c r="Q39"/>
  <c r="S39" s="1"/>
  <c r="Q5"/>
  <c r="S5" s="1"/>
  <c r="Q44"/>
  <c r="S44" s="1"/>
  <c r="Q14"/>
  <c r="S14" s="1"/>
  <c r="Q6"/>
  <c r="Q26"/>
  <c r="S26" s="1"/>
  <c r="Q3"/>
  <c r="S3" s="1"/>
  <c r="Q65"/>
  <c r="Q61"/>
  <c r="Q57"/>
  <c r="Q29"/>
  <c r="S29" s="1"/>
  <c r="Q24"/>
  <c r="S24" s="1"/>
  <c r="Q15"/>
  <c r="Q7"/>
  <c r="S7" s="1"/>
  <c r="Q22"/>
  <c r="Q72"/>
  <c r="S72" s="1"/>
  <c r="Q66"/>
  <c r="Q62"/>
  <c r="Q58"/>
  <c r="Q54"/>
  <c r="Q38"/>
  <c r="R38" s="1"/>
  <c r="Q12"/>
  <c r="S12" s="1"/>
  <c r="Q4"/>
  <c r="S4" s="1"/>
  <c r="R22" l="1"/>
  <c r="S22" s="1"/>
  <c r="S77" s="1"/>
  <c r="Q77"/>
  <c r="S38"/>
</calcChain>
</file>

<file path=xl/sharedStrings.xml><?xml version="1.0" encoding="utf-8"?>
<sst xmlns="http://schemas.openxmlformats.org/spreadsheetml/2006/main" count="285" uniqueCount="190">
  <si>
    <t>TOTAL</t>
  </si>
  <si>
    <t>VALORACIÓN INTEGRAL DE LAS SITUACIONES PERSONALES QUE REQUIEREN ATENCIÓN SOCIOSANITARIA</t>
  </si>
  <si>
    <r>
      <t xml:space="preserve">Definición perfil de la persona con </t>
    </r>
    <r>
      <rPr>
        <sz val="9"/>
        <color theme="1"/>
        <rFont val="Tahoma"/>
        <family val="2"/>
      </rPr>
      <t>necesid</t>
    </r>
    <r>
      <rPr>
        <sz val="9"/>
        <color rgb="FF000000"/>
        <rFont val="Tahoma"/>
        <family val="2"/>
      </rPr>
      <t>ades de atención sociosanitaria</t>
    </r>
  </si>
  <si>
    <t>Recursos propios</t>
  </si>
  <si>
    <t>Determinación de la población diana</t>
  </si>
  <si>
    <t xml:space="preserve">Establecimiento de un sistema de valoración </t>
  </si>
  <si>
    <t>Elaboración de planes individualizados de atención</t>
  </si>
  <si>
    <t>3 millones[i] €</t>
  </si>
  <si>
    <t>€</t>
  </si>
  <si>
    <t xml:space="preserve">Generación de espacios de participación </t>
  </si>
  <si>
    <t>ESTRUCTURAS DE COORDINACIÓN</t>
  </si>
  <si>
    <t xml:space="preserve">Creación de Comité de Coordinación Sociosanitaria </t>
  </si>
  <si>
    <t xml:space="preserve">Protocolo de colaboración por ambas Consejerías </t>
  </si>
  <si>
    <t xml:space="preserve">Creación de comisiones sociosanitarias sectorizadas </t>
  </si>
  <si>
    <t xml:space="preserve">Establecimiento de la gestión del caso </t>
  </si>
  <si>
    <t xml:space="preserve">Comisión de Coordinación de Rehabilitación y Continuidad de Cuidados </t>
  </si>
  <si>
    <t>Definición de los roles profesionales y sus competencias</t>
  </si>
  <si>
    <t xml:space="preserve">Creación de unidades funcionales de gestión de riesgos </t>
  </si>
  <si>
    <t>2,6 millones[ii] €</t>
  </si>
  <si>
    <t>PROCEDIMIENTOS DE COORDINACIÓN DE RECURSOS Y SERVICIOS SOCIOSANITARIOS</t>
  </si>
  <si>
    <t>Elaboración de un mapa de servicios sociales y sanitarios interactivo</t>
  </si>
  <si>
    <t>0,4 millones [iii]€</t>
  </si>
  <si>
    <t xml:space="preserve">Definición de las modalidades de atención sociosanitaria </t>
  </si>
  <si>
    <t>Colaboración en valoración de dependencia y discapacidad</t>
  </si>
  <si>
    <t xml:space="preserve">Procedimiento que promueva la igualdad de acceso a los recursos </t>
  </si>
  <si>
    <t>Rutas y procesos integrados de atención sociosanitaria:</t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</si>
  <si>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 xml:space="preserve">Equipos asistenciales que presten asistencia sanitara a centros de la red pública de atención social que carecen de recursos sanitarios </t>
    </r>
  </si>
  <si>
    <t>1 millones € /año[iv]</t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</si>
  <si>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 xml:space="preserve">Coordinación entre Red Sanitaria de Salud Mental y Red de Atención Social a Personas con Enfermedad Mental Grave y Duradera 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</si>
  <si>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Atención en consulta externa/interconsulta y e-consulta o teleconsulta a personas remitidas desde centros de atención social</t>
    </r>
  </si>
  <si>
    <t>Sanidad[v] €</t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</si>
  <si>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 xml:space="preserve">Circuito específico de atención urgente/preferente en el hospital para personas remitidas desde centros de atención social 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</si>
  <si>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Circuito especifico de atención a personas con discapacidad y/o con graves trastornos de conducta en urgencias</t>
    </r>
  </si>
  <si>
    <t>Sanidad[vi] €</t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</si>
  <si>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 xml:space="preserve">Protocolo de hospitalización psiquiátrica breve para atender las descompensaciones psicopatológicas graves </t>
    </r>
  </si>
  <si>
    <t>Sanidad[vii] €</t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</si>
  <si>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Circuitos específicos de atención urgente para personas en programas de "cuidados al final de la vida" (paliativos)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</si>
  <si>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Priorización para la atención de casos complejos que requieren ingreso hospitalario remitidos desde centros de atención social.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</si>
  <si>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Planificación de altas hospitalarias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</si>
  <si>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Seguimiento periódico de la situación sanitaria de casos complejos en los centros de la red pública de atención social  y en domicilio</t>
    </r>
  </si>
  <si>
    <t>Sanidad[viii] €</t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</si>
  <si>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Procedimiento para gestión de medicación hospitalaria en personas Programa de Hospitalización a Domicilio o alta hospitalaria precoz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</si>
  <si>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Dotación de medicamentos de urgencias en los centros de atención social con profesionales para la prescripción y el uso de éstos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</si>
  <si>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Provisión de medicamentos y productos sanitarios y servicios de atención farmacéutica en centros de atención social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</si>
  <si>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 xml:space="preserve">Circuitos asistenciales para la atención farmacéutica en pacientes pluripatológicos que precisen cuidados sociosanitarios 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</si>
  <si>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Revisión de tratamientos, conciliación de la medicación entre niveles</t>
    </r>
  </si>
  <si>
    <r>
      <t>-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Tahoma"/>
        <family val="2"/>
      </rPr>
      <t>Procedimiento que en situaciones críticas permita acceder a los recursos sociales de forma urgente</t>
    </r>
  </si>
  <si>
    <t>0,15 millones €/año[ix]</t>
  </si>
  <si>
    <t xml:space="preserve">Generación de cuidados intermedios de soporte </t>
  </si>
  <si>
    <t>Sanidad[x] €</t>
  </si>
  <si>
    <t xml:space="preserve">Impulso de los Servicios Especializados en Salud Mental para Personas con Discapacidad Intelectual </t>
  </si>
  <si>
    <t>0,3 millones €/año[xi]</t>
  </si>
  <si>
    <t>Ampliación de recursos en la Red de Atención Social a Personas con Discapacidad Intelectual.</t>
  </si>
  <si>
    <t xml:space="preserve">2 CDI[xii] </t>
  </si>
  <si>
    <t>Desarrollo y ampliación de los centros y recursos de atención social para personas con enfermedad mental grave y duradera.</t>
  </si>
  <si>
    <t xml:space="preserve">3 RSM[xiii] </t>
  </si>
  <si>
    <t>Ampliación de recursos residenciales de mayores y centros de día.</t>
  </si>
  <si>
    <t>1 RM[xiv]</t>
  </si>
  <si>
    <t>Impulso de la ampliación de plazas psicogeriátricas.</t>
  </si>
  <si>
    <t>1 CAP[xv]</t>
  </si>
  <si>
    <t xml:space="preserve">Elaboración y revisión de protocolos asistenciales sobre las áreas priorizadas para los diferentes colectivos de personas a las que atiende </t>
  </si>
  <si>
    <t>Establecimiento de acuerdos entre ambas Consejerías para compatibilizar la tramitación de procedimientos legalmente establecidos.</t>
  </si>
  <si>
    <t>Circuitos de comunicación entre Consejería de Sanidad y la de Políticas Sociales y Familia para la agilización y tramitación de expedientes</t>
  </si>
  <si>
    <t>Seguimiento proactivo de casos en la comunidad y domicilio entre los profesionales de los equipos multidisciplinares sociosanitarios</t>
  </si>
  <si>
    <t>Programas comunes de atención entre los sectores sanitario y social, dirigidos a la promoción de la salud y de la autonomía personal</t>
  </si>
  <si>
    <t>Servicios de farmacia en las diferentes modalidades que determina el Real Decreto-ley 16/2012, de 20 de abril, en los centros de atención social de más de 100 plazas de personas dependientes</t>
  </si>
  <si>
    <t xml:space="preserve">0,5 millones[xvi] € + ___ </t>
  </si>
  <si>
    <t xml:space="preserve">Programas integrales de revisión de los tratamientos, dirigidos a la prevención de errores de medicación </t>
  </si>
  <si>
    <t>0[xvii]€</t>
  </si>
  <si>
    <t>Establecimiento de marcos de colaboración público-privada y con las redes de servicios de organizaciones sin ánimo de lucro capacitadas</t>
  </si>
  <si>
    <t>SISTEMAS DE INFORMACIÓN</t>
  </si>
  <si>
    <t xml:space="preserve">Conjunto mínimo de datos sociosanitarios y el grado de integración </t>
  </si>
  <si>
    <t xml:space="preserve">Registro de casos sociosanitarios </t>
  </si>
  <si>
    <t>0,1 millones[xviii] €</t>
  </si>
  <si>
    <t xml:space="preserve">Procedimientos para compartir la información sanitaria y social </t>
  </si>
  <si>
    <t>Relacionar información generada en latención del sector sanitario y social</t>
  </si>
  <si>
    <t xml:space="preserve">Integración de los centros de la red pública de atención social en la Historia Clínica de Atención Primaria </t>
  </si>
  <si>
    <t>0,4 millones[xix] €</t>
  </si>
  <si>
    <t>Integración de los centros integrales de atención al drogodependiente en la Historia Clínica de Atención Primaria</t>
  </si>
  <si>
    <t>0,1 millones[xx] €</t>
  </si>
  <si>
    <t xml:space="preserve">Nuevos canales de comunicación entre profesionales </t>
  </si>
  <si>
    <t>Espacios virtuales de información de pacientes y profesionales.</t>
  </si>
  <si>
    <t>Utilización de soluciones tecnológicas para la comunicación y la atención remota, en el ámbito de la telemedicina y de la teleasistencia social.</t>
  </si>
  <si>
    <t>2,4 millones[xxi] €</t>
  </si>
  <si>
    <t>Herramientas que durante la atención a domicilio, faciliten al profesional acceso a la información clínica</t>
  </si>
  <si>
    <t>0,1 millones[xxii] €</t>
  </si>
  <si>
    <t xml:space="preserve">Sistemas de seguimiento y evaluación de la calidad </t>
  </si>
  <si>
    <t>0,1 millones[xxiii] €</t>
  </si>
  <si>
    <t>Dar visibilidad en HORUS a la información sociosanitaria de HIRE</t>
  </si>
  <si>
    <t>Sistemas de información para aplicar los protocolos del centro de atención del servicio de teleasistencia</t>
  </si>
  <si>
    <t xml:space="preserve">0,1 millones € + Dependencia [xxiv] </t>
  </si>
  <si>
    <t xml:space="preserve">Sistemas de información para aplicar los protocolos de colaboración sociosanitaria para la atención a la cronicidad con nuevas tecnologías </t>
  </si>
  <si>
    <t xml:space="preserve">0,3 millones € + Sanidad [xxv] </t>
  </si>
  <si>
    <t>Herramientas informáticas de apoyo a la prescripción y a la toma de decisiones participadas con los pacientes</t>
  </si>
  <si>
    <t xml:space="preserve">0,3 millones € + Sanidad [xxvi] </t>
  </si>
  <si>
    <t>FORMACIÓN CONTINUADA DE PROFESIONALES</t>
  </si>
  <si>
    <t>Plan de formación conjunto que capacite a los profesionales en el nuevo modelo de gestión sociosanitaria</t>
  </si>
  <si>
    <t>Formación específica para mejora de las competencias y las habilidades</t>
  </si>
  <si>
    <t>Desarrollo de Unidades Docentes Multiprofesionales para especialización en Geriatría, Medicina y Enfermería de Familia y Comunitaria y Pediatría</t>
  </si>
  <si>
    <t>Plan Estratégico de Formación en atención sociosanitaria, entre ambas consejerías propiciando canales formativos a través de la teleformación.</t>
  </si>
  <si>
    <t>Diseño de programas de actualización de conocimientos y técnicas de “reciclaje” para los profesionales de los servicios sociales y sanidad</t>
  </si>
  <si>
    <t xml:space="preserve">Participación conjunta de los profesionales de los centros de atención social y de los hospitales de SERMAS, en sesiones clínicas </t>
  </si>
  <si>
    <t>Establecimiento de programas de formación y capacitación de personas cuidadoras profesionales y no profesionalizadas</t>
  </si>
  <si>
    <t>SISTEMAS DE FINANCIACIÓN Y GESTIÓN ECONÓMICA</t>
  </si>
  <si>
    <t>Financiación para la puesta en marcha de los programas</t>
  </si>
  <si>
    <t xml:space="preserve">Financiación conjunta del espacio sociosanitario, </t>
  </si>
  <si>
    <t xml:space="preserve">Optimización de costes a través de fórmulas que aumenten la eficiencia </t>
  </si>
  <si>
    <t xml:space="preserve">Delimitación de las responsabilidades económicas de cada sector en su dotación presupuestaria para la prestación de servicios conjuntos </t>
  </si>
  <si>
    <t>[i] 100 Titulados medios x 1 año = 3 millones €. (70% enfermería, 30% Fisioterapeuta-Terapeuta ocupacional-Trabajador Social)</t>
  </si>
  <si>
    <t>[ii] 75 titulados x 1 año = 2,6 millones € (70% Titulados superiores, 30% Titulados medios)</t>
  </si>
  <si>
    <t>[iii] Entendido como una herramienta para los profesionales sociosanitarios para la gestión de los servicios y recursos</t>
  </si>
  <si>
    <t>[iv] 10 equipos formados por 1 médico, 1 DUE, 1 psicólogo</t>
  </si>
  <si>
    <t>[v] Se consideran recursos personales, no tecnológicos. Depende directamente de los Servicios Sanitarios</t>
  </si>
  <si>
    <t>[vi] Se consideran recursos personales, no tecnológicos. Depende directamente de los Servicios Sanitarios</t>
  </si>
  <si>
    <t>[vii] Servicios o unidades que dependen directamente de los Servicios Sanitarios</t>
  </si>
  <si>
    <t>[viii] Se consideran recursos personales, no tecnológicos. Depende directamente de los Servicios Sanitarios</t>
  </si>
  <si>
    <t>[ix] 5 Titulados medios valoradores</t>
  </si>
  <si>
    <t>[x] Depende directamente de los Servicios Sanitarios</t>
  </si>
  <si>
    <t>[xi] 3 equipos de 1 Psiquiatra + 1 Psicólogo + 1 DUE. Dependientes de Sanidad o de Servicios Sociales.</t>
  </si>
  <si>
    <t xml:space="preserve">[xii] 1 Centro para Atención de Personas con Discapacidad estándar (200 plazas) y 1 Centro para Atención de Personas con Discapacidad Envejecidas </t>
  </si>
  <si>
    <t>[xiii] 3 Residencias de Salud Mental</t>
  </si>
  <si>
    <t>[xiv] 1 Residencia de Mayores con Centro de Día</t>
  </si>
  <si>
    <t>[xv] 1 Centro de Atención Psicogeriátrica</t>
  </si>
  <si>
    <t>[xvi] 10 Farmacéuticos más adecuación de infraestructuras para 10 servicios de farmacia en centros de Gestión directa e indirecta. Sin contabilizar recursos para plazas concertadas, proporcionados desde Sanidad</t>
  </si>
  <si>
    <t xml:space="preserve">[xvii] Se puede cubrir con los recursos de la nota 16 y 2 </t>
  </si>
  <si>
    <t>[xviii] Desarrollo conjunto de los puntos 18, 19 y 20. Integración de HIRE en APMadrid, más la ampliación a Centros de Atención a Drogodependientes y el registro de casos sociosanitarios. En conjunto la valoración alcanzaría los 0,6 millones €</t>
  </si>
  <si>
    <t>[xix] Desarrollo conjunto de los puntos 18, 19 y 20. Integración de HIRE en APMadrid, integración con datos de Dependencia de herramientas existentes, más la ampliación a Centros de Atención a Drogodependientes y el registro de casos sociosanitarios. En conjunto la valoración alcanzaría los 0,6 millones €</t>
  </si>
  <si>
    <t>[xx] Desarrollo conjunto de los puntos 18, 19 y 20. Integración de HIRE en APMadrid, más la ampliación a Centros de Atención a Drogodependientes y el registro de casos sociosanitarios. En conjunto la valoración alcanzaría los 0,6 millones €</t>
  </si>
  <si>
    <t>[xxi] 0,4 millones para equipos de videotelemedicina, calculados en base a 5.000€ por cada centro, para un total de 75 centros. Añadidos 2 millones € para teleasistencia social.</t>
  </si>
  <si>
    <t xml:space="preserve">[xxii] Calculado en base a 120 equipos formados por Tablet+conexión a Internet y la adaptación de AP Madrid /HORUS a Tablet. </t>
  </si>
  <si>
    <t>[xxiii] Diseño, desarrollo y puesta en marcha de una herramienta de seguimiento de indicadores, tipo “cuadro de mando”.</t>
  </si>
  <si>
    <t xml:space="preserve">[xxiv] Diseño, desarrollo y puesta en marcha de una herramienta para aplicación y seguimiento  de los protocolos de teleasistencia. Falta contabilizar equipos y sistemas de Dependencia. </t>
  </si>
  <si>
    <t>[xxv] Diseño, desarrollo y puesta en marcha de herramienta de gestión y control amplia, para diversos servicios basados en nuevas tecnologías.  Falta contabilizar equipos y sistemas de Sanidad</t>
  </si>
  <si>
    <t>[xxvi] Diseño, desarrollo y puesta en marcha de herramienta para el apoyo a la prescripción con participación del paciente. Falta contabilizar equipos y sistemas de Sanidad</t>
  </si>
  <si>
    <t>FEA</t>
  </si>
  <si>
    <t>enf</t>
  </si>
  <si>
    <t>tec</t>
  </si>
  <si>
    <t>ts</t>
  </si>
  <si>
    <t>aa</t>
  </si>
  <si>
    <t>(datos 2017 DGRRHH</t>
  </si>
  <si>
    <t>AE</t>
  </si>
  <si>
    <t>AP</t>
  </si>
  <si>
    <t>HOSP</t>
  </si>
  <si>
    <t>Psic</t>
  </si>
  <si>
    <t>Inspector</t>
  </si>
  <si>
    <t>(jornada)</t>
  </si>
  <si>
    <t>Encuesta</t>
  </si>
  <si>
    <t xml:space="preserve">coste medio hora </t>
  </si>
  <si>
    <t>nº horas</t>
  </si>
  <si>
    <t>fun</t>
  </si>
  <si>
    <t>año</t>
  </si>
  <si>
    <t>mismo personal que prirización casos complejos</t>
  </si>
  <si>
    <t>incluido en ppto de equipos de gestión de casos</t>
  </si>
  <si>
    <t>por hospital</t>
  </si>
  <si>
    <t>Doc Fª</t>
  </si>
  <si>
    <t>incluido en apartado anterior</t>
  </si>
  <si>
    <t>100000+dependencia</t>
  </si>
  <si>
    <t>incorporada en humanización</t>
  </si>
  <si>
    <t xml:space="preserve">1 curso por DAS de 30 alumnos 10 h + formación de nuevos profesionales </t>
  </si>
  <si>
    <t>coste ya incluido</t>
  </si>
  <si>
    <t>Otros costes</t>
  </si>
  <si>
    <t>Costes personal</t>
  </si>
  <si>
    <t>costes CSS</t>
  </si>
  <si>
    <t>% Sanidad</t>
  </si>
  <si>
    <t>% S Sociales</t>
  </si>
  <si>
    <t>descripción</t>
  </si>
  <si>
    <t>10 horas 12 profesionales</t>
  </si>
  <si>
    <t>20 horas 20 profesionales</t>
  </si>
  <si>
    <t>20 equipos de 4 profesionales</t>
  </si>
  <si>
    <t>2 profesionales/año</t>
  </si>
  <si>
    <t>5 horas/semana 2 profesionales</t>
  </si>
  <si>
    <t>7 dir asis, 2 turnos,10 meses, 12 profesionales</t>
  </si>
  <si>
    <t>10 equipos de 3 prof atención domicilaria</t>
  </si>
  <si>
    <t xml:space="preserve">10 horas 6 profesionales </t>
  </si>
  <si>
    <t xml:space="preserve">2 prof a media jornada por hospital con Sº Urgencia </t>
  </si>
  <si>
    <t>5 profesionales/año</t>
  </si>
  <si>
    <t>1 profesional a media jornada por Hospital</t>
  </si>
  <si>
    <t>3 equipos de 3 profesionales/año</t>
  </si>
  <si>
    <t>Doc Cª SS</t>
  </si>
  <si>
    <t>una hora/semana 3 profesionales</t>
  </si>
  <si>
    <t>6 horas/mes 12 profesionales</t>
  </si>
  <si>
    <t>10 farmacéuticos/año</t>
  </si>
  <si>
    <t>reducción del 1% anual de ingresos urgentes+ ahorro farmacia</t>
  </si>
  <si>
    <t>1 hora/semana 7 profesionales/Hª</t>
  </si>
  <si>
    <t>sin coste adicional</t>
  </si>
  <si>
    <t>30 horas 6 profesinales +infografías</t>
  </si>
  <si>
    <t>incluido en apartado posterior</t>
  </si>
  <si>
    <t>TOTAL COSTES</t>
  </si>
  <si>
    <t>pte nº hospitales</t>
  </si>
  <si>
    <t>pendiente costes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</si>
</sst>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rgb="FFFFFFFF"/>
      <name val="Tahoma"/>
      <family val="2"/>
    </font>
    <font>
      <b/>
      <sz val="9"/>
      <color rgb="FFFFFFFF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8"/>
      <color rgb="FF808080"/>
      <name val="Tahoma"/>
      <family val="2"/>
    </font>
    <font>
      <sz val="8"/>
      <color rgb="FF000000"/>
      <name val="Tahoma"/>
      <family val="2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4F7F9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59595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 style="medium">
        <color rgb="FFFFFFFF"/>
      </top>
      <bottom style="medium">
        <color rgb="FF595959"/>
      </bottom>
      <diagonal/>
    </border>
    <border>
      <left/>
      <right/>
      <top style="medium">
        <color rgb="FFFFFFFF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justify"/>
    </xf>
    <xf numFmtId="0" fontId="5" fillId="3" borderId="3" xfId="0" applyFont="1" applyFill="1" applyBorder="1"/>
    <xf numFmtId="0" fontId="1" fillId="4" borderId="4" xfId="0" applyFont="1" applyFill="1" applyBorder="1"/>
    <xf numFmtId="0" fontId="7" fillId="5" borderId="4" xfId="0" applyFont="1" applyFill="1" applyBorder="1" applyAlignment="1">
      <alignment horizontal="center"/>
    </xf>
    <xf numFmtId="0" fontId="11" fillId="5" borderId="4" xfId="1" applyFill="1" applyBorder="1" applyAlignment="1" applyProtection="1">
      <alignment horizontal="center"/>
    </xf>
    <xf numFmtId="0" fontId="5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wrapText="1" indent="2"/>
    </xf>
    <xf numFmtId="0" fontId="4" fillId="2" borderId="3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/>
    </xf>
    <xf numFmtId="0" fontId="11" fillId="0" borderId="0" xfId="1" applyAlignment="1" applyProtection="1">
      <alignment horizontal="left" indent="1"/>
    </xf>
    <xf numFmtId="8" fontId="0" fillId="0" borderId="0" xfId="0" applyNumberFormat="1"/>
    <xf numFmtId="2" fontId="0" fillId="0" borderId="0" xfId="0" applyNumberFormat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top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9" fontId="0" fillId="0" borderId="0" xfId="0" applyNumberFormat="1"/>
    <xf numFmtId="0" fontId="0" fillId="0" borderId="0" xfId="0" applyFill="1"/>
    <xf numFmtId="3" fontId="0" fillId="0" borderId="0" xfId="0" applyNumberFormat="1"/>
    <xf numFmtId="3" fontId="13" fillId="8" borderId="0" xfId="0" applyNumberFormat="1" applyFont="1" applyFill="1"/>
    <xf numFmtId="3" fontId="0" fillId="6" borderId="0" xfId="0" applyNumberFormat="1" applyFill="1"/>
    <xf numFmtId="3" fontId="13" fillId="0" borderId="0" xfId="0" applyNumberFormat="1" applyFont="1" applyFill="1"/>
    <xf numFmtId="3" fontId="0" fillId="7" borderId="0" xfId="0" applyNumberFormat="1" applyFill="1"/>
    <xf numFmtId="3" fontId="0" fillId="7" borderId="0" xfId="0" applyNumberFormat="1" applyFill="1" applyAlignment="1">
      <alignment horizontal="center"/>
    </xf>
    <xf numFmtId="3" fontId="0" fillId="8" borderId="0" xfId="0" applyNumberFormat="1" applyFill="1"/>
    <xf numFmtId="3" fontId="0" fillId="8" borderId="0" xfId="0" applyNumberFormat="1" applyFill="1" applyAlignment="1">
      <alignment horizontal="center"/>
    </xf>
    <xf numFmtId="3" fontId="0" fillId="0" borderId="0" xfId="0" applyNumberFormat="1" applyFill="1"/>
    <xf numFmtId="3" fontId="13" fillId="9" borderId="0" xfId="0" applyNumberFormat="1" applyFont="1" applyFill="1"/>
    <xf numFmtId="3" fontId="12" fillId="9" borderId="0" xfId="0" applyNumberFormat="1" applyFont="1" applyFill="1"/>
    <xf numFmtId="3" fontId="12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9"/>
  <sheetViews>
    <sheetView tabSelected="1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O7" sqref="O7"/>
    </sheetView>
  </sheetViews>
  <sheetFormatPr baseColWidth="10" defaultRowHeight="31.5" customHeight="1"/>
  <cols>
    <col min="1" max="1" width="62.85546875" customWidth="1"/>
    <col min="2" max="2" width="14.140625" customWidth="1"/>
    <col min="4" max="6" width="11.42578125" customWidth="1"/>
    <col min="17" max="17" width="18.42578125" style="28" customWidth="1"/>
    <col min="19" max="19" width="18.42578125" style="28" customWidth="1"/>
    <col min="20" max="20" width="15.7109375" style="28" customWidth="1"/>
    <col min="21" max="22" width="11.42578125" style="26"/>
    <col min="23" max="23" width="28.42578125" customWidth="1"/>
  </cols>
  <sheetData>
    <row r="1" spans="1:23" ht="31.5" customHeight="1" thickBot="1">
      <c r="A1" s="1"/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2" t="s">
        <v>0</v>
      </c>
      <c r="J1" t="s">
        <v>134</v>
      </c>
      <c r="K1" t="s">
        <v>135</v>
      </c>
      <c r="L1" t="s">
        <v>136</v>
      </c>
      <c r="M1" t="s">
        <v>137</v>
      </c>
      <c r="N1" t="s">
        <v>138</v>
      </c>
      <c r="O1" t="s">
        <v>143</v>
      </c>
      <c r="P1" t="s">
        <v>149</v>
      </c>
      <c r="Q1" s="28" t="s">
        <v>161</v>
      </c>
      <c r="R1" t="s">
        <v>160</v>
      </c>
      <c r="S1" s="28" t="s">
        <v>187</v>
      </c>
      <c r="T1" s="28" t="s">
        <v>162</v>
      </c>
      <c r="U1" s="26" t="s">
        <v>163</v>
      </c>
      <c r="V1" s="26" t="s">
        <v>164</v>
      </c>
      <c r="W1" t="s">
        <v>165</v>
      </c>
    </row>
    <row r="2" spans="1:23" ht="31.5" customHeight="1" thickBot="1">
      <c r="A2" s="3" t="s">
        <v>1</v>
      </c>
      <c r="B2" s="24"/>
      <c r="C2" s="25"/>
      <c r="D2" s="25"/>
      <c r="E2" s="25"/>
      <c r="F2" s="25"/>
      <c r="G2" s="25"/>
      <c r="H2" t="s">
        <v>148</v>
      </c>
      <c r="I2" t="s">
        <v>150</v>
      </c>
      <c r="J2">
        <v>35.210810810810813</v>
      </c>
      <c r="K2">
        <v>20.824114864864868</v>
      </c>
      <c r="L2">
        <v>14.342290540540541</v>
      </c>
      <c r="M2">
        <v>19.859739864864864</v>
      </c>
      <c r="N2">
        <v>14.542097972972973</v>
      </c>
      <c r="O2">
        <v>17.362871621621622</v>
      </c>
      <c r="P2">
        <f>+Hoja2!B13</f>
        <v>37.576800000000006</v>
      </c>
      <c r="S2" s="38"/>
    </row>
    <row r="3" spans="1:23" ht="31.5" customHeight="1" thickBot="1">
      <c r="A3" s="4" t="s">
        <v>2</v>
      </c>
      <c r="B3" s="18" t="s">
        <v>3</v>
      </c>
      <c r="C3" s="19"/>
      <c r="D3" s="19"/>
      <c r="E3" s="19"/>
      <c r="F3" s="19"/>
      <c r="G3" s="20"/>
      <c r="H3">
        <v>10</v>
      </c>
      <c r="J3">
        <v>6</v>
      </c>
      <c r="M3">
        <v>6</v>
      </c>
      <c r="Q3" s="28">
        <f>+H3*(J3*$J$2+K3*$K$2+L3*$L$2+M3*$M$2+N3*$N$2+O3*$O$2+P3*$P$2)</f>
        <v>3304.2330405405401</v>
      </c>
      <c r="S3" s="38">
        <f>+Q3+R3</f>
        <v>3304.2330405405401</v>
      </c>
      <c r="U3" s="26">
        <v>0.5</v>
      </c>
      <c r="V3" s="26">
        <v>0.5</v>
      </c>
      <c r="W3" t="s">
        <v>166</v>
      </c>
    </row>
    <row r="4" spans="1:23" ht="31.5" customHeight="1" thickBot="1">
      <c r="A4" s="5" t="s">
        <v>4</v>
      </c>
      <c r="B4" s="18" t="s">
        <v>3</v>
      </c>
      <c r="C4" s="19"/>
      <c r="D4" s="19"/>
      <c r="E4" s="19"/>
      <c r="F4" s="19"/>
      <c r="G4" s="20"/>
      <c r="H4">
        <v>20</v>
      </c>
      <c r="J4">
        <v>10</v>
      </c>
      <c r="M4">
        <v>10</v>
      </c>
      <c r="Q4" s="28">
        <f t="shared" ref="Q4:Q66" si="0">+H4*(J4*$J$2+K4*$K$2+L4*$L$2+M4*$M$2+N4*$N$2+O4*$O$2+P4*$P$2)</f>
        <v>11014.110135135135</v>
      </c>
      <c r="S4" s="38">
        <f>+Q4+R4</f>
        <v>11014.110135135135</v>
      </c>
      <c r="U4" s="26">
        <v>0.5</v>
      </c>
      <c r="V4" s="26">
        <v>0.5</v>
      </c>
      <c r="W4" t="s">
        <v>167</v>
      </c>
    </row>
    <row r="5" spans="1:23" ht="31.5" customHeight="1" thickBot="1">
      <c r="A5" s="5" t="s">
        <v>5</v>
      </c>
      <c r="B5" s="18" t="s">
        <v>3</v>
      </c>
      <c r="C5" s="19"/>
      <c r="D5" s="19"/>
      <c r="E5" s="19"/>
      <c r="F5" s="19"/>
      <c r="G5" s="20"/>
      <c r="H5">
        <v>1480</v>
      </c>
      <c r="J5">
        <v>1</v>
      </c>
      <c r="M5">
        <v>1</v>
      </c>
      <c r="Q5" s="28">
        <f t="shared" si="0"/>
        <v>81504.414999999994</v>
      </c>
      <c r="S5" s="38">
        <f>+Q5+R5</f>
        <v>81504.414999999994</v>
      </c>
      <c r="V5" s="26">
        <v>1</v>
      </c>
      <c r="W5" t="s">
        <v>169</v>
      </c>
    </row>
    <row r="6" spans="1:23" ht="31.5" customHeight="1" thickBot="1">
      <c r="A6" s="5" t="s">
        <v>6</v>
      </c>
      <c r="B6" s="6"/>
      <c r="C6" s="8" t="s">
        <v>7</v>
      </c>
      <c r="D6" s="6"/>
      <c r="E6" s="6"/>
      <c r="F6" s="6"/>
      <c r="G6" s="7" t="s">
        <v>8</v>
      </c>
      <c r="H6" s="27">
        <f>20*1480</f>
        <v>29600</v>
      </c>
      <c r="I6">
        <v>20</v>
      </c>
      <c r="K6">
        <v>3</v>
      </c>
      <c r="M6">
        <v>1</v>
      </c>
      <c r="Q6" s="28">
        <f t="shared" si="0"/>
        <v>2437029.7000000002</v>
      </c>
      <c r="S6" s="37">
        <f>+T6</f>
        <v>3000000</v>
      </c>
      <c r="T6" s="29">
        <v>3000000</v>
      </c>
      <c r="V6" s="26">
        <v>1</v>
      </c>
      <c r="W6" t="s">
        <v>168</v>
      </c>
    </row>
    <row r="7" spans="1:23" ht="31.5" customHeight="1" thickBot="1">
      <c r="A7" s="9" t="s">
        <v>9</v>
      </c>
      <c r="B7" s="18" t="s">
        <v>3</v>
      </c>
      <c r="C7" s="19"/>
      <c r="D7" s="19"/>
      <c r="E7" s="19"/>
      <c r="F7" s="19"/>
      <c r="G7" s="20"/>
      <c r="H7" s="27">
        <f>52*5</f>
        <v>260</v>
      </c>
      <c r="L7">
        <v>1</v>
      </c>
      <c r="M7">
        <v>1</v>
      </c>
      <c r="Q7" s="28">
        <f t="shared" si="0"/>
        <v>8892.5279054054045</v>
      </c>
      <c r="S7" s="38">
        <f>+Q7+R7</f>
        <v>8892.5279054054045</v>
      </c>
      <c r="U7" s="26">
        <v>0.5</v>
      </c>
      <c r="V7" s="26">
        <v>0.5</v>
      </c>
      <c r="W7" t="s">
        <v>170</v>
      </c>
    </row>
    <row r="8" spans="1:23" ht="31.5" customHeight="1" thickBot="1">
      <c r="A8" s="3" t="s">
        <v>10</v>
      </c>
      <c r="B8" s="16"/>
      <c r="C8" s="17"/>
      <c r="D8" s="17"/>
      <c r="E8" s="17"/>
      <c r="F8" s="17"/>
      <c r="G8" s="17"/>
      <c r="O8" s="27"/>
      <c r="P8" s="27"/>
      <c r="Q8" s="36"/>
      <c r="R8" s="27"/>
      <c r="S8" s="39"/>
      <c r="T8" s="36"/>
    </row>
    <row r="9" spans="1:23" ht="31.5" customHeight="1" thickBot="1">
      <c r="A9" s="5" t="s">
        <v>11</v>
      </c>
      <c r="B9" s="18" t="s">
        <v>3</v>
      </c>
      <c r="C9" s="19"/>
      <c r="D9" s="19"/>
      <c r="E9" s="19"/>
      <c r="F9" s="19"/>
      <c r="G9" s="20"/>
      <c r="Q9" s="30"/>
      <c r="S9" s="38"/>
      <c r="W9" t="s">
        <v>184</v>
      </c>
    </row>
    <row r="10" spans="1:23" ht="31.5" customHeight="1" thickBot="1">
      <c r="A10" s="5" t="s">
        <v>12</v>
      </c>
      <c r="B10" s="18" t="s">
        <v>3</v>
      </c>
      <c r="C10" s="19"/>
      <c r="D10" s="19"/>
      <c r="E10" s="19"/>
      <c r="F10" s="19"/>
      <c r="G10" s="20"/>
      <c r="Q10" s="30"/>
      <c r="S10" s="38"/>
      <c r="W10" t="s">
        <v>184</v>
      </c>
    </row>
    <row r="11" spans="1:23" ht="31.5" customHeight="1" thickBot="1">
      <c r="A11" s="5" t="s">
        <v>13</v>
      </c>
      <c r="B11" s="18" t="s">
        <v>3</v>
      </c>
      <c r="C11" s="19"/>
      <c r="D11" s="19"/>
      <c r="E11" s="19"/>
      <c r="F11" s="19"/>
      <c r="G11" s="20"/>
      <c r="Q11" s="30"/>
      <c r="S11" s="38"/>
      <c r="W11" t="s">
        <v>184</v>
      </c>
    </row>
    <row r="12" spans="1:23" ht="31.5" customHeight="1" thickBot="1">
      <c r="A12" s="5" t="s">
        <v>14</v>
      </c>
      <c r="B12" s="18" t="s">
        <v>3</v>
      </c>
      <c r="C12" s="19"/>
      <c r="D12" s="19"/>
      <c r="E12" s="19"/>
      <c r="F12" s="19"/>
      <c r="G12" s="20"/>
      <c r="H12" s="27">
        <f>7*2*1480*10/12</f>
        <v>17266.666666666668</v>
      </c>
      <c r="J12">
        <v>6</v>
      </c>
      <c r="M12">
        <v>6</v>
      </c>
      <c r="Q12" s="28">
        <f t="shared" si="0"/>
        <v>5705309.0499999998</v>
      </c>
      <c r="S12" s="38">
        <f>+Q12+R12</f>
        <v>5705309.0499999998</v>
      </c>
      <c r="U12" s="26">
        <v>0.5</v>
      </c>
      <c r="V12" s="26">
        <v>0.5</v>
      </c>
      <c r="W12" t="s">
        <v>171</v>
      </c>
    </row>
    <row r="13" spans="1:23" ht="31.5" customHeight="1" thickBot="1">
      <c r="A13" s="5" t="s">
        <v>15</v>
      </c>
      <c r="B13" s="18" t="s">
        <v>3</v>
      </c>
      <c r="C13" s="19"/>
      <c r="D13" s="19"/>
      <c r="E13" s="19"/>
      <c r="F13" s="19"/>
      <c r="G13" s="20"/>
      <c r="Q13" s="30"/>
      <c r="S13" s="38"/>
      <c r="W13" t="s">
        <v>184</v>
      </c>
    </row>
    <row r="14" spans="1:23" ht="31.5" customHeight="1" thickBot="1">
      <c r="A14" s="5" t="s">
        <v>16</v>
      </c>
      <c r="B14" s="18" t="s">
        <v>3</v>
      </c>
      <c r="C14" s="19"/>
      <c r="D14" s="19"/>
      <c r="E14" s="19"/>
      <c r="F14" s="19"/>
      <c r="G14" s="20"/>
      <c r="H14">
        <v>10</v>
      </c>
      <c r="J14">
        <v>5</v>
      </c>
      <c r="K14">
        <v>3</v>
      </c>
      <c r="M14">
        <v>3</v>
      </c>
      <c r="O14">
        <v>1</v>
      </c>
      <c r="Q14" s="28">
        <f t="shared" si="0"/>
        <v>3154.6848986486484</v>
      </c>
      <c r="S14" s="38">
        <f>+Q14+R14</f>
        <v>3154.6848986486484</v>
      </c>
      <c r="U14" s="26">
        <v>0.5</v>
      </c>
      <c r="V14" s="26">
        <v>0.5</v>
      </c>
    </row>
    <row r="15" spans="1:23" ht="31.5" customHeight="1" thickBot="1">
      <c r="A15" s="9" t="s">
        <v>17</v>
      </c>
      <c r="B15" s="6"/>
      <c r="C15" s="6"/>
      <c r="D15" s="6"/>
      <c r="E15" s="8" t="s">
        <v>18</v>
      </c>
      <c r="F15" s="6"/>
      <c r="G15" s="7" t="s">
        <v>8</v>
      </c>
      <c r="Q15" s="28">
        <f t="shared" si="0"/>
        <v>0</v>
      </c>
      <c r="S15" s="37">
        <f>+T15</f>
        <v>2600000</v>
      </c>
      <c r="T15" s="29">
        <v>2600000</v>
      </c>
      <c r="W15" t="s">
        <v>166</v>
      </c>
    </row>
    <row r="16" spans="1:23" ht="31.5" customHeight="1" thickBot="1">
      <c r="A16" s="3" t="s">
        <v>19</v>
      </c>
      <c r="B16" s="16"/>
      <c r="C16" s="17"/>
      <c r="D16" s="17"/>
      <c r="E16" s="17"/>
      <c r="F16" s="17"/>
      <c r="G16" s="17"/>
      <c r="O16" s="27"/>
      <c r="P16" s="27"/>
      <c r="Q16" s="36"/>
      <c r="R16" s="27"/>
      <c r="S16" s="31"/>
      <c r="T16" s="31"/>
    </row>
    <row r="17" spans="1:23" ht="31.5" customHeight="1" thickBot="1">
      <c r="A17" s="5" t="s">
        <v>20</v>
      </c>
      <c r="B17" s="8" t="s">
        <v>21</v>
      </c>
      <c r="C17" s="6"/>
      <c r="D17" s="6"/>
      <c r="E17" s="6"/>
      <c r="F17" s="6"/>
      <c r="G17" s="7" t="s">
        <v>8</v>
      </c>
      <c r="S17" s="37">
        <f>+T17</f>
        <v>400000</v>
      </c>
      <c r="T17" s="29">
        <v>400000</v>
      </c>
      <c r="V17" s="26">
        <v>1</v>
      </c>
    </row>
    <row r="18" spans="1:23" ht="31.5" customHeight="1" thickBot="1">
      <c r="A18" s="5" t="s">
        <v>22</v>
      </c>
      <c r="B18" s="18" t="s">
        <v>3</v>
      </c>
      <c r="C18" s="19"/>
      <c r="D18" s="19"/>
      <c r="E18" s="19"/>
      <c r="F18" s="19"/>
      <c r="G18" s="20"/>
      <c r="Q18" s="30"/>
      <c r="S18" s="37"/>
      <c r="T18" s="31"/>
      <c r="W18" t="s">
        <v>184</v>
      </c>
    </row>
    <row r="19" spans="1:23" ht="31.5" customHeight="1" thickBot="1">
      <c r="A19" s="5" t="s">
        <v>23</v>
      </c>
      <c r="B19" s="18" t="s">
        <v>3</v>
      </c>
      <c r="C19" s="19"/>
      <c r="D19" s="19"/>
      <c r="E19" s="19"/>
      <c r="F19" s="19"/>
      <c r="G19" s="20"/>
      <c r="Q19" s="30"/>
      <c r="S19" s="37"/>
      <c r="T19" s="31"/>
      <c r="W19" t="s">
        <v>184</v>
      </c>
    </row>
    <row r="20" spans="1:23" ht="31.5" customHeight="1" thickBot="1">
      <c r="A20" s="5" t="s">
        <v>24</v>
      </c>
      <c r="B20" s="18" t="s">
        <v>3</v>
      </c>
      <c r="C20" s="19"/>
      <c r="D20" s="19"/>
      <c r="E20" s="19"/>
      <c r="F20" s="19"/>
      <c r="G20" s="20"/>
      <c r="Q20" s="30"/>
      <c r="S20" s="37"/>
      <c r="T20" s="31"/>
      <c r="W20" t="s">
        <v>184</v>
      </c>
    </row>
    <row r="21" spans="1:23" ht="31.5" customHeight="1" thickBot="1">
      <c r="A21" s="5" t="s">
        <v>25</v>
      </c>
      <c r="B21" s="16"/>
      <c r="C21" s="17"/>
      <c r="D21" s="17"/>
      <c r="E21" s="17"/>
      <c r="F21" s="17"/>
      <c r="G21" s="17"/>
      <c r="S21" s="37"/>
      <c r="T21" s="31"/>
    </row>
    <row r="22" spans="1:23" ht="31.5" customHeight="1" thickBot="1">
      <c r="A22" s="10" t="s">
        <v>26</v>
      </c>
      <c r="B22" s="6"/>
      <c r="C22" s="6"/>
      <c r="D22" s="6"/>
      <c r="E22" s="6"/>
      <c r="F22" s="8" t="s">
        <v>27</v>
      </c>
      <c r="G22" s="7" t="s">
        <v>8</v>
      </c>
      <c r="H22">
        <f>1480*10*1.3</f>
        <v>19240</v>
      </c>
      <c r="J22">
        <v>1</v>
      </c>
      <c r="K22">
        <v>1</v>
      </c>
      <c r="O22">
        <v>1</v>
      </c>
      <c r="Q22" s="28">
        <f t="shared" si="0"/>
        <v>1412173.62</v>
      </c>
      <c r="R22">
        <f>+Q22*0.2</f>
        <v>282434.72400000005</v>
      </c>
      <c r="S22" s="37">
        <f>+Q22+R22</f>
        <v>1694608.344</v>
      </c>
      <c r="T22" s="29"/>
      <c r="U22" s="26">
        <v>1</v>
      </c>
      <c r="W22" t="s">
        <v>172</v>
      </c>
    </row>
    <row r="23" spans="1:23" ht="31.5" customHeight="1" thickBot="1">
      <c r="A23" s="10" t="s">
        <v>28</v>
      </c>
      <c r="B23" s="18" t="s">
        <v>3</v>
      </c>
      <c r="C23" s="19"/>
      <c r="D23" s="19"/>
      <c r="E23" s="19"/>
      <c r="F23" s="19"/>
      <c r="G23" s="20"/>
      <c r="Q23" s="30"/>
      <c r="S23" s="37"/>
      <c r="T23" s="31"/>
      <c r="W23" t="s">
        <v>184</v>
      </c>
    </row>
    <row r="24" spans="1:23" ht="31.5" customHeight="1" thickBot="1">
      <c r="A24" s="10" t="s">
        <v>29</v>
      </c>
      <c r="B24" s="6"/>
      <c r="C24" s="6"/>
      <c r="D24" s="6"/>
      <c r="E24" s="6"/>
      <c r="F24" s="8" t="s">
        <v>30</v>
      </c>
      <c r="G24" s="7" t="s">
        <v>8</v>
      </c>
      <c r="H24">
        <f>1*52</f>
        <v>52</v>
      </c>
      <c r="J24">
        <v>5</v>
      </c>
      <c r="K24">
        <v>2</v>
      </c>
      <c r="Q24" s="28">
        <f t="shared" si="0"/>
        <v>11320.518756756757</v>
      </c>
      <c r="S24" s="37">
        <f>+Q24+R24</f>
        <v>11320.518756756757</v>
      </c>
      <c r="T24" s="29" t="s">
        <v>188</v>
      </c>
      <c r="U24" s="26">
        <v>1</v>
      </c>
      <c r="W24" t="s">
        <v>183</v>
      </c>
    </row>
    <row r="25" spans="1:23" ht="31.5" customHeight="1" thickBot="1">
      <c r="A25" s="10" t="s">
        <v>31</v>
      </c>
      <c r="B25" s="18" t="s">
        <v>3</v>
      </c>
      <c r="C25" s="19"/>
      <c r="D25" s="19"/>
      <c r="E25" s="19"/>
      <c r="F25" s="19"/>
      <c r="G25" s="20"/>
      <c r="Q25" s="30"/>
      <c r="S25" s="37"/>
      <c r="T25" s="31"/>
      <c r="W25" t="s">
        <v>184</v>
      </c>
    </row>
    <row r="26" spans="1:23" ht="31.5" customHeight="1" thickBot="1">
      <c r="A26" s="10" t="s">
        <v>32</v>
      </c>
      <c r="B26" s="6"/>
      <c r="C26" s="6"/>
      <c r="D26" s="6"/>
      <c r="E26" s="6"/>
      <c r="F26" s="8" t="s">
        <v>33</v>
      </c>
      <c r="G26" s="7" t="s">
        <v>8</v>
      </c>
      <c r="H26">
        <v>10</v>
      </c>
      <c r="J26">
        <v>3</v>
      </c>
      <c r="K26">
        <v>3</v>
      </c>
      <c r="Q26" s="30">
        <f t="shared" si="0"/>
        <v>1681.0477702702703</v>
      </c>
      <c r="S26" s="37">
        <f>+Q26+R26</f>
        <v>1681.0477702702703</v>
      </c>
      <c r="T26" s="29"/>
      <c r="U26" s="26">
        <v>0.5</v>
      </c>
      <c r="V26" s="26">
        <v>0.5</v>
      </c>
      <c r="W26" t="s">
        <v>173</v>
      </c>
    </row>
    <row r="27" spans="1:23" ht="31.5" customHeight="1" thickBot="1">
      <c r="A27" s="10" t="s">
        <v>34</v>
      </c>
      <c r="B27" s="6"/>
      <c r="C27" s="6"/>
      <c r="D27" s="6"/>
      <c r="E27" s="6"/>
      <c r="F27" s="8" t="s">
        <v>35</v>
      </c>
      <c r="G27" s="7" t="s">
        <v>8</v>
      </c>
      <c r="H27">
        <v>10</v>
      </c>
      <c r="J27">
        <v>3</v>
      </c>
      <c r="K27">
        <v>3</v>
      </c>
      <c r="Q27" s="30">
        <f t="shared" si="0"/>
        <v>1681.0477702702703</v>
      </c>
      <c r="S27" s="37">
        <f>+Q27+R27</f>
        <v>1681.0477702702703</v>
      </c>
      <c r="T27" s="29"/>
      <c r="U27" s="26">
        <v>0.5</v>
      </c>
      <c r="V27" s="26">
        <v>0.5</v>
      </c>
      <c r="W27" t="s">
        <v>173</v>
      </c>
    </row>
    <row r="28" spans="1:23" ht="31.5" customHeight="1" thickBot="1">
      <c r="A28" s="10" t="s">
        <v>36</v>
      </c>
      <c r="B28" s="18" t="s">
        <v>3</v>
      </c>
      <c r="C28" s="19"/>
      <c r="D28" s="19"/>
      <c r="E28" s="19"/>
      <c r="F28" s="19"/>
      <c r="G28" s="20"/>
      <c r="Q28" s="30"/>
      <c r="S28" s="37"/>
      <c r="T28" s="31"/>
      <c r="W28" t="s">
        <v>184</v>
      </c>
    </row>
    <row r="29" spans="1:23" ht="31.5" customHeight="1" thickBot="1">
      <c r="A29" s="10" t="s">
        <v>37</v>
      </c>
      <c r="B29" s="18" t="s">
        <v>3</v>
      </c>
      <c r="C29" s="19"/>
      <c r="D29" s="19"/>
      <c r="E29" s="19"/>
      <c r="F29" s="19"/>
      <c r="G29" s="20"/>
      <c r="H29">
        <f>1480/2</f>
        <v>740</v>
      </c>
      <c r="J29">
        <v>1</v>
      </c>
      <c r="K29">
        <v>1</v>
      </c>
      <c r="Q29" s="28">
        <f t="shared" si="0"/>
        <v>41465.845000000001</v>
      </c>
      <c r="S29" s="37">
        <f>+Q29+R29</f>
        <v>41465.845000000001</v>
      </c>
      <c r="T29" s="29" t="s">
        <v>188</v>
      </c>
      <c r="U29" s="26">
        <v>1</v>
      </c>
      <c r="W29" t="s">
        <v>174</v>
      </c>
    </row>
    <row r="30" spans="1:23" ht="31.5" customHeight="1" thickBot="1">
      <c r="A30" s="10" t="s">
        <v>38</v>
      </c>
      <c r="B30" s="18" t="s">
        <v>3</v>
      </c>
      <c r="C30" s="19"/>
      <c r="D30" s="19"/>
      <c r="E30" s="19"/>
      <c r="F30" s="19"/>
      <c r="G30" s="20"/>
      <c r="S30" s="37"/>
      <c r="T30" s="31"/>
      <c r="W30" t="s">
        <v>151</v>
      </c>
    </row>
    <row r="31" spans="1:23" ht="31.5" customHeight="1" thickBot="1">
      <c r="A31" s="10" t="s">
        <v>39</v>
      </c>
      <c r="B31" s="6"/>
      <c r="C31" s="6"/>
      <c r="D31" s="6"/>
      <c r="E31" s="8" t="s">
        <v>40</v>
      </c>
      <c r="F31" s="6"/>
      <c r="G31" s="7" t="s">
        <v>8</v>
      </c>
      <c r="S31" s="37"/>
      <c r="T31" s="31"/>
      <c r="W31" t="s">
        <v>152</v>
      </c>
    </row>
    <row r="32" spans="1:23" ht="31.5" customHeight="1" thickBot="1">
      <c r="A32" s="10" t="s">
        <v>41</v>
      </c>
      <c r="B32" s="18" t="s">
        <v>3</v>
      </c>
      <c r="C32" s="19"/>
      <c r="D32" s="19"/>
      <c r="E32" s="19"/>
      <c r="F32" s="19"/>
      <c r="G32" s="20"/>
      <c r="Q32" s="32"/>
      <c r="S32" s="37"/>
      <c r="T32" s="29"/>
    </row>
    <row r="33" spans="1:23" ht="31.5" customHeight="1" thickBot="1">
      <c r="A33" s="10" t="s">
        <v>42</v>
      </c>
      <c r="B33" s="18" t="s">
        <v>3</v>
      </c>
      <c r="C33" s="19"/>
      <c r="D33" s="19"/>
      <c r="E33" s="19"/>
      <c r="F33" s="19"/>
      <c r="G33" s="20"/>
      <c r="Q33" s="32"/>
      <c r="S33" s="37"/>
      <c r="T33" s="29"/>
    </row>
    <row r="34" spans="1:23" ht="31.5" customHeight="1" thickBot="1">
      <c r="A34" s="10" t="s">
        <v>43</v>
      </c>
      <c r="B34" s="18" t="s">
        <v>3</v>
      </c>
      <c r="C34" s="19"/>
      <c r="D34" s="19"/>
      <c r="E34" s="19"/>
      <c r="F34" s="19"/>
      <c r="G34" s="20"/>
      <c r="Q34" s="33" t="s">
        <v>154</v>
      </c>
      <c r="S34" s="37"/>
      <c r="T34" s="29"/>
    </row>
    <row r="35" spans="1:23" ht="31.5" customHeight="1" thickBot="1">
      <c r="A35" s="10" t="s">
        <v>44</v>
      </c>
      <c r="B35" s="18" t="s">
        <v>3</v>
      </c>
      <c r="C35" s="19"/>
      <c r="D35" s="19"/>
      <c r="E35" s="19"/>
      <c r="F35" s="19"/>
      <c r="G35" s="20"/>
      <c r="Q35" s="32"/>
      <c r="S35" s="37"/>
      <c r="T35" s="29"/>
    </row>
    <row r="36" spans="1:23" ht="31.5" customHeight="1" thickBot="1">
      <c r="A36" s="10" t="s">
        <v>45</v>
      </c>
      <c r="B36" s="18" t="s">
        <v>3</v>
      </c>
      <c r="C36" s="19"/>
      <c r="D36" s="19"/>
      <c r="E36" s="19"/>
      <c r="F36" s="19"/>
      <c r="G36" s="20"/>
      <c r="Q36" s="32"/>
      <c r="S36" s="37"/>
      <c r="T36" s="29"/>
    </row>
    <row r="37" spans="1:23" ht="31.5" customHeight="1" thickBot="1">
      <c r="A37" s="10" t="s">
        <v>46</v>
      </c>
      <c r="B37" s="6"/>
      <c r="C37" s="6"/>
      <c r="D37" s="6"/>
      <c r="E37" s="6"/>
      <c r="F37" s="8" t="s">
        <v>47</v>
      </c>
      <c r="G37" s="7" t="s">
        <v>8</v>
      </c>
      <c r="H37">
        <v>1480</v>
      </c>
      <c r="L37">
        <v>5</v>
      </c>
      <c r="Q37" s="28">
        <f t="shared" si="0"/>
        <v>106132.95</v>
      </c>
      <c r="S37" s="37">
        <f>+T37</f>
        <v>150000</v>
      </c>
      <c r="T37" s="29">
        <v>150000</v>
      </c>
      <c r="V37" s="26">
        <v>1</v>
      </c>
      <c r="W37" t="s">
        <v>175</v>
      </c>
    </row>
    <row r="38" spans="1:23" ht="31.5" customHeight="1" thickBot="1">
      <c r="A38" s="5" t="s">
        <v>48</v>
      </c>
      <c r="B38" s="6"/>
      <c r="C38" s="6"/>
      <c r="D38" s="6"/>
      <c r="E38" s="6"/>
      <c r="F38" s="8" t="s">
        <v>49</v>
      </c>
      <c r="G38" s="7" t="s">
        <v>8</v>
      </c>
      <c r="H38">
        <f>1480*1.3/2</f>
        <v>962</v>
      </c>
      <c r="J38">
        <v>1</v>
      </c>
      <c r="Q38" s="28">
        <f t="shared" si="0"/>
        <v>33872.800000000003</v>
      </c>
      <c r="R38">
        <f>+Q38*0.2</f>
        <v>6774.5600000000013</v>
      </c>
      <c r="S38" s="37">
        <f>+Q38+R38</f>
        <v>40647.360000000001</v>
      </c>
      <c r="T38" s="29"/>
      <c r="U38" s="26">
        <v>1</v>
      </c>
      <c r="W38" t="s">
        <v>176</v>
      </c>
    </row>
    <row r="39" spans="1:23" ht="31.5" customHeight="1" thickBot="1">
      <c r="A39" s="5" t="s">
        <v>50</v>
      </c>
      <c r="B39" s="6"/>
      <c r="C39" s="6"/>
      <c r="D39" s="6"/>
      <c r="E39" s="6"/>
      <c r="F39" s="8" t="s">
        <v>51</v>
      </c>
      <c r="G39" s="7" t="s">
        <v>8</v>
      </c>
      <c r="H39">
        <f>3*1480</f>
        <v>4440</v>
      </c>
      <c r="J39">
        <v>1</v>
      </c>
      <c r="K39">
        <v>1</v>
      </c>
      <c r="O39">
        <v>1</v>
      </c>
      <c r="Q39" s="28">
        <f t="shared" si="0"/>
        <v>325886.22000000003</v>
      </c>
      <c r="S39" s="37">
        <f>+Q39+R39</f>
        <v>325886.22000000003</v>
      </c>
      <c r="T39" s="29">
        <v>300000</v>
      </c>
      <c r="U39" s="26">
        <v>1</v>
      </c>
      <c r="W39" t="s">
        <v>177</v>
      </c>
    </row>
    <row r="40" spans="1:23" ht="31.5" customHeight="1" thickBot="1">
      <c r="A40" s="5" t="s">
        <v>52</v>
      </c>
      <c r="B40" s="6"/>
      <c r="C40" s="6"/>
      <c r="D40" s="6"/>
      <c r="E40" s="6"/>
      <c r="F40" s="8" t="s">
        <v>53</v>
      </c>
      <c r="G40" s="7" t="s">
        <v>8</v>
      </c>
      <c r="Q40" s="34"/>
      <c r="S40" s="29"/>
      <c r="T40" s="29"/>
      <c r="V40" s="26">
        <v>1</v>
      </c>
    </row>
    <row r="41" spans="1:23" ht="31.5" customHeight="1" thickBot="1">
      <c r="A41" s="5" t="s">
        <v>54</v>
      </c>
      <c r="B41" s="6"/>
      <c r="C41" s="6"/>
      <c r="D41" s="6"/>
      <c r="E41" s="6"/>
      <c r="F41" s="8" t="s">
        <v>55</v>
      </c>
      <c r="G41" s="7" t="s">
        <v>8</v>
      </c>
      <c r="Q41" s="35" t="s">
        <v>178</v>
      </c>
      <c r="S41" s="29"/>
      <c r="T41" s="29" t="s">
        <v>189</v>
      </c>
      <c r="V41" s="26">
        <v>1</v>
      </c>
    </row>
    <row r="42" spans="1:23" ht="31.5" customHeight="1" thickBot="1">
      <c r="A42" s="5" t="s">
        <v>56</v>
      </c>
      <c r="B42" s="6"/>
      <c r="C42" s="6"/>
      <c r="D42" s="6"/>
      <c r="E42" s="6"/>
      <c r="F42" s="8" t="s">
        <v>57</v>
      </c>
      <c r="G42" s="7" t="s">
        <v>8</v>
      </c>
      <c r="Q42" s="34"/>
      <c r="S42" s="29"/>
      <c r="T42" s="29"/>
      <c r="V42" s="26">
        <v>1</v>
      </c>
    </row>
    <row r="43" spans="1:23" ht="31.5" customHeight="1" thickBot="1">
      <c r="A43" s="5" t="s">
        <v>58</v>
      </c>
      <c r="B43" s="6"/>
      <c r="C43" s="6"/>
      <c r="D43" s="6"/>
      <c r="E43" s="6"/>
      <c r="F43" s="8" t="s">
        <v>59</v>
      </c>
      <c r="G43" s="7" t="s">
        <v>8</v>
      </c>
      <c r="Q43" s="34"/>
      <c r="S43" s="29"/>
      <c r="T43" s="29"/>
      <c r="V43" s="26">
        <v>1</v>
      </c>
    </row>
    <row r="44" spans="1:23" ht="31.5" customHeight="1" thickBot="1">
      <c r="A44" s="5" t="s">
        <v>60</v>
      </c>
      <c r="B44" s="18" t="s">
        <v>3</v>
      </c>
      <c r="C44" s="19"/>
      <c r="D44" s="19"/>
      <c r="E44" s="19"/>
      <c r="F44" s="19"/>
      <c r="G44" s="20"/>
      <c r="H44">
        <v>52</v>
      </c>
      <c r="K44">
        <v>1</v>
      </c>
      <c r="M44">
        <v>1</v>
      </c>
      <c r="O44">
        <v>1</v>
      </c>
      <c r="Q44" s="28">
        <f t="shared" si="0"/>
        <v>3018.4297702702702</v>
      </c>
      <c r="S44" s="37">
        <f>+Q44+R44</f>
        <v>3018.4297702702702</v>
      </c>
      <c r="T44" s="29" t="s">
        <v>153</v>
      </c>
      <c r="U44" s="26">
        <v>1</v>
      </c>
      <c r="W44" t="s">
        <v>179</v>
      </c>
    </row>
    <row r="45" spans="1:23" ht="31.5" customHeight="1" thickBot="1">
      <c r="A45" s="5" t="s">
        <v>61</v>
      </c>
      <c r="B45" s="18" t="s">
        <v>3</v>
      </c>
      <c r="C45" s="19"/>
      <c r="D45" s="19"/>
      <c r="E45" s="19"/>
      <c r="F45" s="19"/>
      <c r="G45" s="20"/>
      <c r="Q45" s="30"/>
      <c r="S45" s="37"/>
      <c r="T45" s="29"/>
    </row>
    <row r="46" spans="1:23" ht="31.5" customHeight="1" thickBot="1">
      <c r="A46" s="5" t="s">
        <v>62</v>
      </c>
      <c r="B46" s="18" t="s">
        <v>3</v>
      </c>
      <c r="C46" s="19"/>
      <c r="D46" s="19"/>
      <c r="E46" s="19"/>
      <c r="F46" s="19"/>
      <c r="G46" s="20"/>
      <c r="Q46" s="30"/>
      <c r="S46" s="37"/>
      <c r="T46" s="29"/>
    </row>
    <row r="47" spans="1:23" ht="31.5" customHeight="1" thickBot="1">
      <c r="A47" s="5" t="s">
        <v>63</v>
      </c>
      <c r="B47" s="18" t="s">
        <v>3</v>
      </c>
      <c r="C47" s="19"/>
      <c r="D47" s="19"/>
      <c r="E47" s="19"/>
      <c r="F47" s="19"/>
      <c r="G47" s="20"/>
      <c r="Q47" s="30"/>
      <c r="S47" s="37"/>
      <c r="T47" s="31"/>
      <c r="W47" t="s">
        <v>152</v>
      </c>
    </row>
    <row r="48" spans="1:23" ht="31.5" customHeight="1" thickBot="1">
      <c r="A48" s="5" t="s">
        <v>64</v>
      </c>
      <c r="B48" s="18" t="s">
        <v>3</v>
      </c>
      <c r="C48" s="19"/>
      <c r="D48" s="19"/>
      <c r="E48" s="19"/>
      <c r="F48" s="19"/>
      <c r="G48" s="20"/>
      <c r="H48">
        <f>6*12</f>
        <v>72</v>
      </c>
      <c r="J48">
        <v>2</v>
      </c>
      <c r="K48">
        <v>2</v>
      </c>
      <c r="L48">
        <v>2</v>
      </c>
      <c r="M48">
        <v>2</v>
      </c>
      <c r="O48">
        <v>2</v>
      </c>
      <c r="P48">
        <v>2</v>
      </c>
      <c r="Q48" s="28">
        <f t="shared" ref="Q48" si="1">+H48*(J48*$J$2+K48*$K$2+L48*$L$2+M48*$M$2+N48*$N$2+O48*$O$2+P48*$P$2)</f>
        <v>20905.434389189191</v>
      </c>
      <c r="S48" s="37">
        <f>+Q48+R48</f>
        <v>20905.434389189191</v>
      </c>
      <c r="T48" s="29"/>
      <c r="U48" s="26">
        <v>0.5</v>
      </c>
      <c r="V48" s="26">
        <v>0.5</v>
      </c>
      <c r="W48" t="s">
        <v>180</v>
      </c>
    </row>
    <row r="49" spans="1:23" ht="31.5" customHeight="1" thickBot="1">
      <c r="A49" s="5" t="s">
        <v>65</v>
      </c>
      <c r="B49" s="6"/>
      <c r="C49" s="6"/>
      <c r="D49" s="6"/>
      <c r="E49" s="6"/>
      <c r="F49" s="8" t="s">
        <v>66</v>
      </c>
      <c r="G49" s="7" t="s">
        <v>8</v>
      </c>
      <c r="H49">
        <v>1480</v>
      </c>
      <c r="J49">
        <v>10</v>
      </c>
      <c r="Q49" s="28">
        <f t="shared" si="0"/>
        <v>521120</v>
      </c>
      <c r="S49" s="37">
        <f>+Q49+R49</f>
        <v>521120</v>
      </c>
      <c r="T49" s="29">
        <v>500000</v>
      </c>
      <c r="V49" s="26">
        <v>1</v>
      </c>
      <c r="W49" t="s">
        <v>181</v>
      </c>
    </row>
    <row r="50" spans="1:23" ht="31.5" customHeight="1" thickBot="1">
      <c r="A50" s="5" t="s">
        <v>67</v>
      </c>
      <c r="B50" s="6"/>
      <c r="C50" s="6"/>
      <c r="D50" s="6"/>
      <c r="E50" s="6"/>
      <c r="F50" s="8" t="s">
        <v>68</v>
      </c>
      <c r="G50" s="7" t="s">
        <v>8</v>
      </c>
      <c r="S50" s="37"/>
      <c r="T50" s="31"/>
      <c r="W50" t="s">
        <v>155</v>
      </c>
    </row>
    <row r="51" spans="1:23" ht="31.5" customHeight="1" thickBot="1">
      <c r="A51" s="9" t="s">
        <v>69</v>
      </c>
      <c r="B51" s="18" t="s">
        <v>3</v>
      </c>
      <c r="C51" s="19"/>
      <c r="D51" s="19"/>
      <c r="E51" s="19"/>
      <c r="F51" s="19"/>
      <c r="G51" s="20"/>
      <c r="Q51" s="30"/>
      <c r="S51" s="37"/>
      <c r="T51" s="31"/>
    </row>
    <row r="52" spans="1:23" ht="31.5" customHeight="1" thickBot="1">
      <c r="A52" s="3" t="s">
        <v>70</v>
      </c>
      <c r="B52" s="16"/>
      <c r="C52" s="17"/>
      <c r="D52" s="17"/>
      <c r="E52" s="17"/>
      <c r="F52" s="17"/>
      <c r="G52" s="17"/>
      <c r="O52" s="27"/>
      <c r="P52" s="27"/>
      <c r="Q52" s="36"/>
      <c r="R52" s="27"/>
      <c r="S52" s="31"/>
      <c r="T52" s="31"/>
    </row>
    <row r="53" spans="1:23" ht="31.5" customHeight="1" thickBot="1">
      <c r="A53" s="5" t="s">
        <v>71</v>
      </c>
      <c r="B53" s="18" t="s">
        <v>3</v>
      </c>
      <c r="C53" s="19"/>
      <c r="D53" s="19"/>
      <c r="E53" s="19"/>
      <c r="F53" s="19"/>
      <c r="G53" s="20"/>
      <c r="Q53" s="30"/>
      <c r="S53" s="37"/>
      <c r="T53" s="31"/>
      <c r="W53" t="s">
        <v>186</v>
      </c>
    </row>
    <row r="54" spans="1:23" ht="31.5" customHeight="1" thickBot="1">
      <c r="A54" s="5" t="s">
        <v>72</v>
      </c>
      <c r="B54" s="6"/>
      <c r="C54" s="6"/>
      <c r="D54" s="6"/>
      <c r="E54" s="6"/>
      <c r="F54" s="8" t="s">
        <v>73</v>
      </c>
      <c r="G54" s="7" t="s">
        <v>8</v>
      </c>
      <c r="Q54" s="28">
        <f t="shared" si="0"/>
        <v>0</v>
      </c>
      <c r="S54" s="37">
        <f>+T54</f>
        <v>100000</v>
      </c>
      <c r="T54" s="29">
        <v>100000</v>
      </c>
    </row>
    <row r="55" spans="1:23" ht="31.5" customHeight="1" thickBot="1">
      <c r="A55" s="5" t="s">
        <v>74</v>
      </c>
      <c r="B55" s="18" t="s">
        <v>3</v>
      </c>
      <c r="C55" s="19"/>
      <c r="D55" s="19"/>
      <c r="E55" s="19"/>
      <c r="F55" s="19"/>
      <c r="G55" s="20"/>
      <c r="Q55" s="30"/>
      <c r="S55" s="38"/>
      <c r="T55" s="36"/>
      <c r="W55" t="s">
        <v>155</v>
      </c>
    </row>
    <row r="56" spans="1:23" ht="31.5" customHeight="1" thickBot="1">
      <c r="A56" s="5" t="s">
        <v>75</v>
      </c>
      <c r="B56" s="18" t="s">
        <v>3</v>
      </c>
      <c r="C56" s="19"/>
      <c r="D56" s="19"/>
      <c r="E56" s="19"/>
      <c r="F56" s="19"/>
      <c r="G56" s="20"/>
      <c r="Q56" s="30"/>
      <c r="S56" s="38"/>
      <c r="T56" s="36"/>
      <c r="W56" t="s">
        <v>155</v>
      </c>
    </row>
    <row r="57" spans="1:23" ht="31.5" customHeight="1" thickBot="1">
      <c r="A57" s="5" t="s">
        <v>76</v>
      </c>
      <c r="B57" s="6"/>
      <c r="C57" s="6"/>
      <c r="D57" s="6"/>
      <c r="E57" s="8" t="s">
        <v>77</v>
      </c>
      <c r="F57" s="6"/>
      <c r="G57" s="7" t="s">
        <v>8</v>
      </c>
      <c r="Q57" s="28">
        <f t="shared" si="0"/>
        <v>0</v>
      </c>
      <c r="S57" s="37">
        <f t="shared" ref="S57:S58" si="2">+T57</f>
        <v>400000</v>
      </c>
      <c r="T57" s="29">
        <v>400000</v>
      </c>
    </row>
    <row r="58" spans="1:23" ht="31.5" customHeight="1" thickBot="1">
      <c r="A58" s="5" t="s">
        <v>78</v>
      </c>
      <c r="B58" s="6"/>
      <c r="C58" s="6"/>
      <c r="D58" s="6"/>
      <c r="E58" s="8" t="s">
        <v>79</v>
      </c>
      <c r="F58" s="6"/>
      <c r="G58" s="7" t="s">
        <v>8</v>
      </c>
      <c r="Q58" s="28">
        <f t="shared" si="0"/>
        <v>0</v>
      </c>
      <c r="S58" s="37">
        <f t="shared" si="2"/>
        <v>100000</v>
      </c>
      <c r="T58" s="29">
        <v>100000</v>
      </c>
    </row>
    <row r="59" spans="1:23" ht="31.5" customHeight="1" thickBot="1">
      <c r="A59" s="5" t="s">
        <v>80</v>
      </c>
      <c r="B59" s="21" t="s">
        <v>3</v>
      </c>
      <c r="C59" s="22"/>
      <c r="D59" s="22"/>
      <c r="E59" s="22"/>
      <c r="F59" s="22"/>
      <c r="G59" s="23"/>
      <c r="Q59" s="30"/>
      <c r="S59" s="38"/>
      <c r="W59" t="s">
        <v>184</v>
      </c>
    </row>
    <row r="60" spans="1:23" ht="31.5" customHeight="1" thickBot="1">
      <c r="A60" s="5" t="s">
        <v>81</v>
      </c>
      <c r="B60" s="21" t="s">
        <v>3</v>
      </c>
      <c r="C60" s="22"/>
      <c r="D60" s="22"/>
      <c r="E60" s="22"/>
      <c r="F60" s="22"/>
      <c r="G60" s="23"/>
      <c r="Q60" s="30"/>
      <c r="S60" s="38"/>
      <c r="W60" t="s">
        <v>184</v>
      </c>
    </row>
    <row r="61" spans="1:23" ht="31.5" customHeight="1" thickBot="1">
      <c r="A61" s="5" t="s">
        <v>82</v>
      </c>
      <c r="B61" s="6"/>
      <c r="C61" s="6"/>
      <c r="D61" s="6"/>
      <c r="E61" s="6"/>
      <c r="F61" s="8" t="s">
        <v>83</v>
      </c>
      <c r="G61" s="7" t="s">
        <v>8</v>
      </c>
      <c r="Q61" s="28">
        <f t="shared" si="0"/>
        <v>0</v>
      </c>
      <c r="S61" s="37">
        <f t="shared" ref="S61:S63" si="3">+T61</f>
        <v>2400000</v>
      </c>
      <c r="T61" s="29">
        <v>2400000</v>
      </c>
    </row>
    <row r="62" spans="1:23" ht="31.5" customHeight="1" thickBot="1">
      <c r="A62" s="5" t="s">
        <v>84</v>
      </c>
      <c r="B62" s="6"/>
      <c r="C62" s="6"/>
      <c r="D62" s="6"/>
      <c r="E62" s="6"/>
      <c r="F62" s="8" t="s">
        <v>85</v>
      </c>
      <c r="G62" s="7" t="s">
        <v>8</v>
      </c>
      <c r="Q62" s="28">
        <f t="shared" si="0"/>
        <v>0</v>
      </c>
      <c r="S62" s="37">
        <f t="shared" si="3"/>
        <v>100000</v>
      </c>
      <c r="T62" s="29">
        <v>100000</v>
      </c>
    </row>
    <row r="63" spans="1:23" ht="31.5" customHeight="1" thickBot="1">
      <c r="A63" s="5" t="s">
        <v>86</v>
      </c>
      <c r="B63" s="6"/>
      <c r="C63" s="6"/>
      <c r="D63" s="6"/>
      <c r="E63" s="6"/>
      <c r="F63" s="8" t="s">
        <v>87</v>
      </c>
      <c r="G63" s="7" t="s">
        <v>8</v>
      </c>
      <c r="Q63" s="28">
        <f t="shared" si="0"/>
        <v>0</v>
      </c>
      <c r="S63" s="37">
        <f t="shared" si="3"/>
        <v>100000</v>
      </c>
      <c r="T63" s="29">
        <v>100000</v>
      </c>
    </row>
    <row r="64" spans="1:23" ht="31.5" customHeight="1" thickBot="1">
      <c r="A64" s="5" t="s">
        <v>88</v>
      </c>
      <c r="B64" s="18" t="s">
        <v>3</v>
      </c>
      <c r="C64" s="19"/>
      <c r="D64" s="19"/>
      <c r="E64" s="19"/>
      <c r="F64" s="19"/>
      <c r="G64" s="20"/>
      <c r="Q64" s="30"/>
      <c r="S64" s="38"/>
      <c r="W64" t="s">
        <v>184</v>
      </c>
    </row>
    <row r="65" spans="1:23" ht="31.5" customHeight="1" thickBot="1">
      <c r="A65" s="5" t="s">
        <v>89</v>
      </c>
      <c r="B65" s="6"/>
      <c r="C65" s="6"/>
      <c r="D65" s="6"/>
      <c r="E65" s="6"/>
      <c r="F65" s="8" t="s">
        <v>90</v>
      </c>
      <c r="G65" s="7" t="s">
        <v>8</v>
      </c>
      <c r="Q65" s="28">
        <f t="shared" si="0"/>
        <v>0</v>
      </c>
      <c r="S65" s="37">
        <v>100000</v>
      </c>
      <c r="T65" s="29" t="s">
        <v>156</v>
      </c>
    </row>
    <row r="66" spans="1:23" ht="31.5" customHeight="1" thickBot="1">
      <c r="A66" s="5" t="s">
        <v>91</v>
      </c>
      <c r="B66" s="6"/>
      <c r="C66" s="6"/>
      <c r="D66" s="6"/>
      <c r="E66" s="6"/>
      <c r="F66" s="8" t="s">
        <v>92</v>
      </c>
      <c r="G66" s="7" t="s">
        <v>8</v>
      </c>
      <c r="Q66" s="28">
        <f t="shared" si="0"/>
        <v>0</v>
      </c>
      <c r="S66" s="37">
        <f t="shared" ref="S66" si="4">+T66</f>
        <v>300000</v>
      </c>
      <c r="T66" s="29">
        <v>300000</v>
      </c>
    </row>
    <row r="67" spans="1:23" ht="31.5" customHeight="1" thickBot="1">
      <c r="A67" s="9" t="s">
        <v>93</v>
      </c>
      <c r="B67" s="6"/>
      <c r="C67" s="6"/>
      <c r="D67" s="6"/>
      <c r="E67" s="6"/>
      <c r="F67" s="8" t="s">
        <v>94</v>
      </c>
      <c r="G67" s="7" t="s">
        <v>8</v>
      </c>
      <c r="Q67" s="30"/>
      <c r="S67" s="38"/>
      <c r="W67" t="s">
        <v>157</v>
      </c>
    </row>
    <row r="68" spans="1:23" ht="31.5" customHeight="1" thickBot="1">
      <c r="A68" s="3" t="s">
        <v>95</v>
      </c>
      <c r="B68" s="16"/>
      <c r="C68" s="17"/>
      <c r="D68" s="17"/>
      <c r="E68" s="17"/>
      <c r="F68" s="17"/>
      <c r="G68" s="17"/>
      <c r="O68" s="27"/>
      <c r="P68" s="27"/>
      <c r="Q68" s="36"/>
      <c r="R68" s="27"/>
      <c r="S68" s="39"/>
      <c r="T68" s="36"/>
    </row>
    <row r="69" spans="1:23" ht="31.5" customHeight="1" thickBot="1">
      <c r="A69" s="5" t="s">
        <v>96</v>
      </c>
      <c r="B69" s="18" t="s">
        <v>3</v>
      </c>
      <c r="C69" s="19"/>
      <c r="D69" s="19"/>
      <c r="E69" s="19"/>
      <c r="F69" s="19"/>
      <c r="G69" s="20"/>
      <c r="H69">
        <f>7*10*7*10</f>
        <v>4900</v>
      </c>
      <c r="J69">
        <v>5</v>
      </c>
      <c r="K69">
        <v>5</v>
      </c>
      <c r="L69">
        <v>5</v>
      </c>
      <c r="M69">
        <v>5</v>
      </c>
      <c r="O69">
        <v>5</v>
      </c>
      <c r="P69">
        <v>5</v>
      </c>
      <c r="Q69" s="28">
        <f t="shared" ref="Q69:Q78" si="5">+H69*(J69*$J$2+K69*$K$2+L69*$L$2+M69*$M$2+N69*$N$2+O69*$O$2+P69*$P$2)</f>
        <v>3556827.3787162164</v>
      </c>
      <c r="R69">
        <v>1000</v>
      </c>
      <c r="S69" s="38">
        <f>+Q69+R69</f>
        <v>3557827.3787162164</v>
      </c>
      <c r="U69" s="26">
        <v>0.5</v>
      </c>
      <c r="V69" s="26">
        <v>0.5</v>
      </c>
      <c r="W69" t="s">
        <v>158</v>
      </c>
    </row>
    <row r="70" spans="1:23" ht="31.5" customHeight="1" thickBot="1">
      <c r="A70" s="5" t="s">
        <v>97</v>
      </c>
      <c r="B70" s="18" t="s">
        <v>3</v>
      </c>
      <c r="C70" s="19"/>
      <c r="D70" s="19"/>
      <c r="E70" s="19"/>
      <c r="F70" s="19"/>
      <c r="G70" s="20"/>
      <c r="Q70" s="30"/>
      <c r="S70" s="38"/>
      <c r="W70" t="s">
        <v>184</v>
      </c>
    </row>
    <row r="71" spans="1:23" ht="31.5" customHeight="1" thickBot="1">
      <c r="A71" s="5" t="s">
        <v>98</v>
      </c>
      <c r="B71" s="18" t="s">
        <v>3</v>
      </c>
      <c r="C71" s="19"/>
      <c r="D71" s="19"/>
      <c r="E71" s="19"/>
      <c r="F71" s="19"/>
      <c r="G71" s="20"/>
      <c r="Q71" s="30"/>
      <c r="S71" s="38"/>
      <c r="W71" t="s">
        <v>184</v>
      </c>
    </row>
    <row r="72" spans="1:23" ht="31.5" customHeight="1" thickBot="1">
      <c r="A72" s="5" t="s">
        <v>99</v>
      </c>
      <c r="B72" s="18" t="s">
        <v>3</v>
      </c>
      <c r="C72" s="19"/>
      <c r="D72" s="19"/>
      <c r="E72" s="19"/>
      <c r="F72" s="19"/>
      <c r="G72" s="20"/>
      <c r="H72">
        <v>30</v>
      </c>
      <c r="J72">
        <v>1</v>
      </c>
      <c r="K72">
        <v>1</v>
      </c>
      <c r="O72">
        <v>1</v>
      </c>
      <c r="P72">
        <v>3</v>
      </c>
      <c r="Q72" s="28">
        <f t="shared" si="5"/>
        <v>5583.8459189189198</v>
      </c>
      <c r="R72">
        <v>20000</v>
      </c>
      <c r="S72" s="38">
        <f>+Q72+R72</f>
        <v>25583.84591891892</v>
      </c>
      <c r="U72" s="26">
        <v>0.5</v>
      </c>
      <c r="V72" s="26">
        <v>0.5</v>
      </c>
      <c r="W72" t="s">
        <v>185</v>
      </c>
    </row>
    <row r="73" spans="1:23" ht="31.5" customHeight="1" thickBot="1">
      <c r="A73" s="5" t="s">
        <v>100</v>
      </c>
      <c r="B73" s="18" t="s">
        <v>3</v>
      </c>
      <c r="C73" s="19"/>
      <c r="D73" s="19"/>
      <c r="E73" s="19"/>
      <c r="F73" s="19"/>
      <c r="G73" s="20"/>
      <c r="Q73" s="30"/>
      <c r="S73" s="38"/>
      <c r="W73" t="s">
        <v>159</v>
      </c>
    </row>
    <row r="74" spans="1:23" ht="31.5" customHeight="1" thickBot="1">
      <c r="A74" s="5" t="s">
        <v>101</v>
      </c>
      <c r="B74" s="18" t="s">
        <v>3</v>
      </c>
      <c r="C74" s="19"/>
      <c r="D74" s="19"/>
      <c r="E74" s="19"/>
      <c r="F74" s="19"/>
      <c r="G74" s="20"/>
      <c r="Q74" s="30"/>
      <c r="S74" s="38"/>
      <c r="W74" t="s">
        <v>159</v>
      </c>
    </row>
    <row r="75" spans="1:23" ht="31.5" customHeight="1" thickBot="1">
      <c r="A75" s="9" t="s">
        <v>102</v>
      </c>
      <c r="B75" s="18" t="s">
        <v>3</v>
      </c>
      <c r="C75" s="19"/>
      <c r="D75" s="19"/>
      <c r="E75" s="19"/>
      <c r="F75" s="19"/>
      <c r="G75" s="20"/>
      <c r="Q75" s="30"/>
      <c r="S75" s="38"/>
      <c r="W75" t="s">
        <v>157</v>
      </c>
    </row>
    <row r="76" spans="1:23" ht="31.5" customHeight="1" thickBot="1">
      <c r="A76" s="3" t="s">
        <v>103</v>
      </c>
      <c r="B76" s="16"/>
      <c r="C76" s="17"/>
      <c r="D76" s="17"/>
      <c r="E76" s="17"/>
      <c r="F76" s="17"/>
      <c r="G76" s="17"/>
      <c r="R76" s="28"/>
    </row>
    <row r="77" spans="1:23" ht="31.5" customHeight="1" thickBot="1">
      <c r="A77" s="5" t="s">
        <v>104</v>
      </c>
      <c r="B77" s="6"/>
      <c r="C77" s="6"/>
      <c r="D77" s="6"/>
      <c r="E77" s="6"/>
      <c r="F77" s="6"/>
      <c r="G77" s="6"/>
      <c r="Q77" s="28">
        <f>SUM(Q3:Q76)</f>
        <v>14291877.859071622</v>
      </c>
      <c r="S77" s="38">
        <f>SUM(S3:S75)</f>
        <v>21808924.493071623</v>
      </c>
    </row>
    <row r="78" spans="1:23" ht="31.5" customHeight="1" thickBot="1">
      <c r="A78" s="5" t="s">
        <v>105</v>
      </c>
      <c r="B78" s="6"/>
      <c r="C78" s="6"/>
      <c r="D78" s="6"/>
      <c r="E78" s="6"/>
      <c r="F78" s="6"/>
      <c r="G78" s="6"/>
      <c r="Q78" s="28">
        <f t="shared" si="5"/>
        <v>0</v>
      </c>
      <c r="S78" s="38"/>
      <c r="T78" s="36"/>
    </row>
    <row r="79" spans="1:23" ht="31.5" customHeight="1" thickBot="1">
      <c r="A79" s="5" t="s">
        <v>106</v>
      </c>
      <c r="B79" s="6"/>
      <c r="C79" s="6"/>
      <c r="D79" s="6"/>
      <c r="E79" s="6"/>
      <c r="F79" s="6"/>
      <c r="G79" s="6"/>
      <c r="Q79" s="28">
        <f>-5177021-5214*354141*0.01</f>
        <v>-23641932.740000002</v>
      </c>
      <c r="S79" s="38">
        <f>+Q79+R79</f>
        <v>-23641932.740000002</v>
      </c>
      <c r="W79" t="s">
        <v>182</v>
      </c>
    </row>
    <row r="80" spans="1:23" ht="31.5" customHeight="1" thickBot="1">
      <c r="A80" s="9" t="s">
        <v>107</v>
      </c>
      <c r="B80" s="6"/>
      <c r="C80" s="6"/>
      <c r="D80" s="6"/>
      <c r="E80" s="6"/>
      <c r="F80" s="6"/>
      <c r="G80" s="6"/>
      <c r="Q80" s="36"/>
      <c r="S80" s="38"/>
      <c r="T80" s="36"/>
      <c r="W80" s="27"/>
    </row>
    <row r="81" spans="1:7" ht="31.5" customHeight="1" thickBot="1">
      <c r="A81" s="11" t="s">
        <v>0</v>
      </c>
      <c r="B81" s="12"/>
      <c r="C81" s="12"/>
      <c r="D81" s="12"/>
      <c r="E81" s="12"/>
      <c r="F81" s="12"/>
      <c r="G81" s="12"/>
    </row>
    <row r="84" spans="1:7" ht="31.5" customHeight="1">
      <c r="A84" s="13" t="s">
        <v>108</v>
      </c>
    </row>
    <row r="85" spans="1:7" ht="31.5" customHeight="1">
      <c r="A85" s="13" t="s">
        <v>109</v>
      </c>
    </row>
    <row r="86" spans="1:7" ht="31.5" customHeight="1">
      <c r="A86" s="13" t="s">
        <v>110</v>
      </c>
    </row>
    <row r="87" spans="1:7" ht="31.5" customHeight="1">
      <c r="A87" s="13" t="s">
        <v>111</v>
      </c>
    </row>
    <row r="88" spans="1:7" ht="31.5" customHeight="1">
      <c r="A88" s="13" t="s">
        <v>112</v>
      </c>
    </row>
    <row r="89" spans="1:7" ht="31.5" customHeight="1">
      <c r="A89" s="13" t="s">
        <v>113</v>
      </c>
    </row>
    <row r="90" spans="1:7" ht="31.5" customHeight="1">
      <c r="A90" s="13" t="s">
        <v>114</v>
      </c>
    </row>
    <row r="91" spans="1:7" ht="31.5" customHeight="1">
      <c r="A91" s="13" t="s">
        <v>115</v>
      </c>
    </row>
    <row r="92" spans="1:7" ht="31.5" customHeight="1">
      <c r="A92" s="13" t="s">
        <v>116</v>
      </c>
    </row>
    <row r="93" spans="1:7" ht="31.5" customHeight="1">
      <c r="A93" s="13" t="s">
        <v>117</v>
      </c>
    </row>
    <row r="94" spans="1:7" ht="31.5" customHeight="1">
      <c r="A94" s="13" t="s">
        <v>118</v>
      </c>
    </row>
    <row r="95" spans="1:7" ht="31.5" customHeight="1">
      <c r="A95" s="13" t="s">
        <v>119</v>
      </c>
    </row>
    <row r="96" spans="1:7" ht="31.5" customHeight="1">
      <c r="A96" s="13" t="s">
        <v>120</v>
      </c>
    </row>
    <row r="97" spans="1:1" ht="31.5" customHeight="1">
      <c r="A97" s="13" t="s">
        <v>121</v>
      </c>
    </row>
    <row r="98" spans="1:1" ht="31.5" customHeight="1">
      <c r="A98" s="13" t="s">
        <v>122</v>
      </c>
    </row>
    <row r="99" spans="1:1" ht="31.5" customHeight="1">
      <c r="A99" s="13" t="s">
        <v>123</v>
      </c>
    </row>
    <row r="100" spans="1:1" ht="31.5" customHeight="1">
      <c r="A100" s="13" t="s">
        <v>124</v>
      </c>
    </row>
    <row r="101" spans="1:1" ht="31.5" customHeight="1">
      <c r="A101" s="13" t="s">
        <v>125</v>
      </c>
    </row>
    <row r="102" spans="1:1" ht="31.5" customHeight="1">
      <c r="A102" s="13" t="s">
        <v>126</v>
      </c>
    </row>
    <row r="103" spans="1:1" ht="31.5" customHeight="1">
      <c r="A103" s="13" t="s">
        <v>127</v>
      </c>
    </row>
    <row r="104" spans="1:1" ht="31.5" customHeight="1">
      <c r="A104" s="13" t="s">
        <v>128</v>
      </c>
    </row>
    <row r="105" spans="1:1" ht="31.5" customHeight="1">
      <c r="A105" s="13" t="s">
        <v>129</v>
      </c>
    </row>
    <row r="106" spans="1:1" ht="31.5" customHeight="1">
      <c r="A106" s="13" t="s">
        <v>130</v>
      </c>
    </row>
    <row r="107" spans="1:1" ht="31.5" customHeight="1">
      <c r="A107" s="13" t="s">
        <v>131</v>
      </c>
    </row>
    <row r="108" spans="1:1" ht="31.5" customHeight="1">
      <c r="A108" s="13" t="s">
        <v>132</v>
      </c>
    </row>
    <row r="109" spans="1:1" ht="31.5" customHeight="1">
      <c r="A109" s="13" t="s">
        <v>133</v>
      </c>
    </row>
  </sheetData>
  <autoFilter ref="A1:W81">
    <filterColumn colId="17"/>
    <filterColumn colId="20"/>
    <filterColumn colId="21"/>
  </autoFilter>
  <mergeCells count="49">
    <mergeCell ref="B8:G8"/>
    <mergeCell ref="B2:G2"/>
    <mergeCell ref="B3:G3"/>
    <mergeCell ref="B4:G4"/>
    <mergeCell ref="B5:G5"/>
    <mergeCell ref="B7:G7"/>
    <mergeCell ref="B23:G23"/>
    <mergeCell ref="B9:G9"/>
    <mergeCell ref="B10:G10"/>
    <mergeCell ref="B11:G11"/>
    <mergeCell ref="B12:G12"/>
    <mergeCell ref="B13:G13"/>
    <mergeCell ref="B14:G14"/>
    <mergeCell ref="B16:G16"/>
    <mergeCell ref="B18:G18"/>
    <mergeCell ref="B19:G19"/>
    <mergeCell ref="B20:G20"/>
    <mergeCell ref="B21:G21"/>
    <mergeCell ref="B46:G46"/>
    <mergeCell ref="B25:G25"/>
    <mergeCell ref="B28:G28"/>
    <mergeCell ref="B29:G29"/>
    <mergeCell ref="B30:G30"/>
    <mergeCell ref="B32:G32"/>
    <mergeCell ref="B33:G33"/>
    <mergeCell ref="B34:G34"/>
    <mergeCell ref="B35:G35"/>
    <mergeCell ref="B36:G36"/>
    <mergeCell ref="B44:G44"/>
    <mergeCell ref="B45:G45"/>
    <mergeCell ref="B69:G69"/>
    <mergeCell ref="B47:G47"/>
    <mergeCell ref="B48:G48"/>
    <mergeCell ref="B51:G51"/>
    <mergeCell ref="B52:G52"/>
    <mergeCell ref="B53:G53"/>
    <mergeCell ref="B55:G55"/>
    <mergeCell ref="B56:G56"/>
    <mergeCell ref="B59:G59"/>
    <mergeCell ref="B60:G60"/>
    <mergeCell ref="B64:G64"/>
    <mergeCell ref="B68:G68"/>
    <mergeCell ref="B76:G76"/>
    <mergeCell ref="B70:G70"/>
    <mergeCell ref="B71:G71"/>
    <mergeCell ref="B72:G72"/>
    <mergeCell ref="B73:G73"/>
    <mergeCell ref="B74:G74"/>
    <mergeCell ref="B75:G75"/>
  </mergeCells>
  <hyperlinks>
    <hyperlink ref="C6" location="_edn1" display="_edn1"/>
    <hyperlink ref="E15" location="_edn2" display="_edn2"/>
    <hyperlink ref="B17" location="_edn3" display="_edn3"/>
    <hyperlink ref="F22" location="_edn4" display="_edn4"/>
    <hyperlink ref="F24" location="_edn5" display="_edn5"/>
    <hyperlink ref="F26" location="_edn6" display="_edn6"/>
    <hyperlink ref="F27" location="_edn7" display="_edn7"/>
    <hyperlink ref="E31" location="_edn8" display="_edn8"/>
    <hyperlink ref="F37" location="_edn9" display="_edn9"/>
    <hyperlink ref="F38" location="_edn10" display="_edn10"/>
    <hyperlink ref="F39" location="_edn11" display="_edn11"/>
    <hyperlink ref="F40" location="_edn12" display="_edn12"/>
    <hyperlink ref="F41" location="_edn13" display="_edn13"/>
    <hyperlink ref="F42" location="_edn14" display="_edn14"/>
    <hyperlink ref="F43" location="_edn15" display="_edn15"/>
    <hyperlink ref="F49" location="_edn16" display="_edn16"/>
    <hyperlink ref="F50" location="_edn17" display="_edn17"/>
    <hyperlink ref="F54" location="_edn18" display="_edn18"/>
    <hyperlink ref="E57" location="_edn19" display="_edn19"/>
    <hyperlink ref="E58" location="_edn20" display="_edn20"/>
    <hyperlink ref="F61" location="_edn21" display="_edn21"/>
    <hyperlink ref="F62" location="_edn22" display="_edn22"/>
    <hyperlink ref="F63" location="_edn23" display="_edn23"/>
    <hyperlink ref="F65" location="_edn24" display="_edn24"/>
    <hyperlink ref="F66" location="_edn25" display="_edn25"/>
    <hyperlink ref="F67" location="_edn26" display="_edn26"/>
    <hyperlink ref="A84" location="_ednref1" display="_ednref1"/>
    <hyperlink ref="A85" location="_ednref2" display="_ednref2"/>
    <hyperlink ref="A86" location="_ednref3" display="_ednref3"/>
    <hyperlink ref="A87" location="_ednref4" display="_ednref4"/>
    <hyperlink ref="A88" location="_ednref5" display="_ednref5"/>
    <hyperlink ref="A89" location="_ednref6" display="_ednref6"/>
    <hyperlink ref="A90" location="_ednref7" display="_ednref7"/>
    <hyperlink ref="A91" location="_ednref8" display="_ednref8"/>
    <hyperlink ref="A92" location="_ednref9" display="_ednref9"/>
    <hyperlink ref="A93" location="_ednref10" display="_ednref10"/>
    <hyperlink ref="A94" location="_ednref11" display="_ednref11"/>
    <hyperlink ref="A95" location="_ednref12" display="_ednref12"/>
    <hyperlink ref="A96" location="_ednref13" display="_ednref13"/>
    <hyperlink ref="A97" location="_ednref14" display="_ednref14"/>
    <hyperlink ref="A98" location="_ednref15" display="_ednref15"/>
    <hyperlink ref="A99" location="_ednref16" display="_ednref16"/>
    <hyperlink ref="A100" location="_ednref17" display="_ednref17"/>
    <hyperlink ref="A101" location="_ednref18" display="_ednref18"/>
    <hyperlink ref="A102" location="_ednref19" display="_ednref19"/>
    <hyperlink ref="A103" location="_ednref20" display="_ednref20"/>
    <hyperlink ref="A104" location="_ednref21" display="_ednref21"/>
    <hyperlink ref="A105" location="_ednref22" display="_ednref22"/>
    <hyperlink ref="A106" location="_ednref23" display="_ednref23"/>
    <hyperlink ref="A107" location="_ednref24" display="_ednref24"/>
    <hyperlink ref="A108" location="_ednref25" display="_ednref25"/>
    <hyperlink ref="A109" location="_ednref26" display="_ednref26"/>
  </hyperlinks>
  <pageMargins left="0.70866141732283472" right="0.70866141732283472" top="0.74803149606299213" bottom="0.74803149606299213" header="0.31496062992125984" footer="0.31496062992125984"/>
  <pageSetup paperSize="8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2" sqref="A2:A7"/>
    </sheetView>
  </sheetViews>
  <sheetFormatPr baseColWidth="10" defaultRowHeight="15"/>
  <sheetData>
    <row r="1" spans="1:6">
      <c r="A1" t="s">
        <v>140</v>
      </c>
      <c r="B1" t="s">
        <v>142</v>
      </c>
      <c r="C1" t="s">
        <v>141</v>
      </c>
      <c r="E1" t="s">
        <v>139</v>
      </c>
    </row>
    <row r="2" spans="1:6">
      <c r="A2" t="s">
        <v>134</v>
      </c>
      <c r="B2">
        <v>52829.9</v>
      </c>
      <c r="C2">
        <f>359758.7/7</f>
        <v>51394.1</v>
      </c>
      <c r="D2" s="15">
        <f>+B2/1480</f>
        <v>35.695878378378382</v>
      </c>
      <c r="E2" s="15">
        <f t="shared" ref="E2:E7" si="0">+C2/1480</f>
        <v>34.725743243243244</v>
      </c>
      <c r="F2" s="15">
        <f>AVERAGE(D2:E2)</f>
        <v>35.210810810810813</v>
      </c>
    </row>
    <row r="3" spans="1:6">
      <c r="A3" t="s">
        <v>135</v>
      </c>
      <c r="B3">
        <v>30667.78</v>
      </c>
      <c r="C3">
        <f>216801.2/7</f>
        <v>30971.600000000002</v>
      </c>
      <c r="D3" s="15">
        <f t="shared" ref="D3:D7" si="1">+B3/1480</f>
        <v>20.721472972972972</v>
      </c>
      <c r="E3" s="15">
        <f t="shared" si="0"/>
        <v>20.92675675675676</v>
      </c>
      <c r="F3" s="15">
        <f t="shared" ref="F3:F7" si="2">AVERAGE(D3:E3)</f>
        <v>20.824114864864868</v>
      </c>
    </row>
    <row r="4" spans="1:6">
      <c r="A4" t="s">
        <v>136</v>
      </c>
      <c r="B4">
        <v>21496.9</v>
      </c>
      <c r="C4">
        <f>83825.12/4</f>
        <v>20956.28</v>
      </c>
      <c r="D4" s="15">
        <f t="shared" si="1"/>
        <v>14.524932432432433</v>
      </c>
      <c r="E4" s="15">
        <f t="shared" si="0"/>
        <v>14.159648648648648</v>
      </c>
      <c r="F4" s="15">
        <f t="shared" si="2"/>
        <v>14.342290540540541</v>
      </c>
    </row>
    <row r="5" spans="1:6">
      <c r="A5" t="s">
        <v>137</v>
      </c>
      <c r="B5">
        <v>30397.58</v>
      </c>
      <c r="C5">
        <f>227098/8</f>
        <v>28387.25</v>
      </c>
      <c r="D5" s="15">
        <f t="shared" si="1"/>
        <v>20.538905405405405</v>
      </c>
      <c r="E5" s="15">
        <f t="shared" si="0"/>
        <v>19.180574324324326</v>
      </c>
      <c r="F5" s="15">
        <f t="shared" si="2"/>
        <v>19.859739864864864</v>
      </c>
    </row>
    <row r="6" spans="1:6">
      <c r="A6" t="s">
        <v>138</v>
      </c>
      <c r="B6">
        <v>21605.18</v>
      </c>
      <c r="C6">
        <f>107197.15/5</f>
        <v>21439.43</v>
      </c>
      <c r="D6" s="15">
        <f t="shared" si="1"/>
        <v>14.598094594594595</v>
      </c>
      <c r="E6" s="15">
        <f t="shared" si="0"/>
        <v>14.486101351351351</v>
      </c>
      <c r="F6" s="15">
        <f t="shared" si="2"/>
        <v>14.542097972972973</v>
      </c>
    </row>
    <row r="7" spans="1:6">
      <c r="A7" t="s">
        <v>143</v>
      </c>
      <c r="C7">
        <f>411152.8/8</f>
        <v>51394.1</v>
      </c>
      <c r="D7" s="15">
        <f t="shared" si="1"/>
        <v>0</v>
      </c>
      <c r="E7" s="15">
        <f t="shared" si="0"/>
        <v>34.725743243243244</v>
      </c>
      <c r="F7" s="15">
        <f t="shared" si="2"/>
        <v>17.362871621621622</v>
      </c>
    </row>
    <row r="9" spans="1:6">
      <c r="A9" t="s">
        <v>144</v>
      </c>
      <c r="B9">
        <f>3965.55*1.02/5/3</f>
        <v>269.6574</v>
      </c>
      <c r="C9" t="s">
        <v>145</v>
      </c>
    </row>
    <row r="11" spans="1:6">
      <c r="A11" t="s">
        <v>146</v>
      </c>
      <c r="B11" s="14">
        <v>2.84</v>
      </c>
    </row>
    <row r="13" spans="1:6">
      <c r="A13" t="s">
        <v>147</v>
      </c>
      <c r="B13">
        <f>36.84*1.02</f>
        <v>37.576800000000006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Hoja1</vt:lpstr>
      <vt:lpstr>Hoja2</vt:lpstr>
      <vt:lpstr>Hoja3</vt:lpstr>
      <vt:lpstr>Hoja1!_edn1</vt:lpstr>
      <vt:lpstr>Hoja1!_edn10</vt:lpstr>
      <vt:lpstr>Hoja1!_edn11</vt:lpstr>
      <vt:lpstr>Hoja1!_edn12</vt:lpstr>
      <vt:lpstr>Hoja1!_edn13</vt:lpstr>
      <vt:lpstr>Hoja1!_edn14</vt:lpstr>
      <vt:lpstr>Hoja1!_edn15</vt:lpstr>
      <vt:lpstr>Hoja1!_edn16</vt:lpstr>
      <vt:lpstr>Hoja1!_edn17</vt:lpstr>
      <vt:lpstr>Hoja1!_edn18</vt:lpstr>
      <vt:lpstr>Hoja1!_edn19</vt:lpstr>
      <vt:lpstr>Hoja1!_edn2</vt:lpstr>
      <vt:lpstr>Hoja1!_edn20</vt:lpstr>
      <vt:lpstr>Hoja1!_edn21</vt:lpstr>
      <vt:lpstr>Hoja1!_edn22</vt:lpstr>
      <vt:lpstr>Hoja1!_edn23</vt:lpstr>
      <vt:lpstr>Hoja1!_edn24</vt:lpstr>
      <vt:lpstr>Hoja1!_edn25</vt:lpstr>
      <vt:lpstr>Hoja1!_edn26</vt:lpstr>
      <vt:lpstr>Hoja1!_edn3</vt:lpstr>
      <vt:lpstr>Hoja1!_edn4</vt:lpstr>
      <vt:lpstr>Hoja1!_edn5</vt:lpstr>
      <vt:lpstr>Hoja1!_edn6</vt:lpstr>
      <vt:lpstr>Hoja1!_edn7</vt:lpstr>
      <vt:lpstr>Hoja1!_edn8</vt:lpstr>
      <vt:lpstr>Hoja1!_edn9</vt:lpstr>
      <vt:lpstr>Hoja1!_ednref1</vt:lpstr>
      <vt:lpstr>Hoja1!_ednref10</vt:lpstr>
      <vt:lpstr>Hoja1!_ednref11</vt:lpstr>
      <vt:lpstr>Hoja1!_ednref12</vt:lpstr>
      <vt:lpstr>Hoja1!_ednref13</vt:lpstr>
      <vt:lpstr>Hoja1!_ednref14</vt:lpstr>
      <vt:lpstr>Hoja1!_ednref15</vt:lpstr>
      <vt:lpstr>Hoja1!_ednref16</vt:lpstr>
      <vt:lpstr>Hoja1!_ednref17</vt:lpstr>
      <vt:lpstr>Hoja1!_ednref18</vt:lpstr>
      <vt:lpstr>Hoja1!_ednref19</vt:lpstr>
      <vt:lpstr>Hoja1!_ednref2</vt:lpstr>
      <vt:lpstr>Hoja1!_ednref20</vt:lpstr>
      <vt:lpstr>Hoja1!_ednref21</vt:lpstr>
      <vt:lpstr>Hoja1!_ednref22</vt:lpstr>
      <vt:lpstr>Hoja1!_ednref23</vt:lpstr>
      <vt:lpstr>Hoja1!_ednref24</vt:lpstr>
      <vt:lpstr>Hoja1!_ednref25</vt:lpstr>
      <vt:lpstr>Hoja1!_ednref26</vt:lpstr>
      <vt:lpstr>Hoja1!_ednref3</vt:lpstr>
      <vt:lpstr>Hoja1!_ednref4</vt:lpstr>
      <vt:lpstr>Hoja1!_ednref5</vt:lpstr>
      <vt:lpstr>Hoja1!_ednref6</vt:lpstr>
      <vt:lpstr>Hoja1!_ednref7</vt:lpstr>
      <vt:lpstr>Hoja1!_ednref8</vt:lpstr>
      <vt:lpstr>Hoja1!_ednref9</vt:lpstr>
      <vt:lpstr>Hoja1!_FilterDatabase</vt:lpstr>
    </vt:vector>
  </TitlesOfParts>
  <Company>ICM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Duran.Belen</dc:creator>
  <cp:lastModifiedBy>Alonso Duran.Belen</cp:lastModifiedBy>
  <cp:lastPrinted>2017-05-12T09:26:48Z</cp:lastPrinted>
  <dcterms:created xsi:type="dcterms:W3CDTF">2017-05-11T17:59:36Z</dcterms:created>
  <dcterms:modified xsi:type="dcterms:W3CDTF">2017-05-16T17:20:25Z</dcterms:modified>
</cp:coreProperties>
</file>